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92" activeTab="0"/>
  </bookViews>
  <sheets>
    <sheet name="ANEXO I" sheetId="1" r:id="rId1"/>
    <sheet name="Plan2" sheetId="2" state="hidden" r:id="rId2"/>
    <sheet name="Planilha1" sheetId="3" state="hidden" r:id="rId3"/>
    <sheet name="Planilha2" sheetId="4" state="hidden" r:id="rId4"/>
  </sheets>
  <externalReferences>
    <externalReference r:id="rId7"/>
  </externalReferences>
  <definedNames>
    <definedName name="_xlnm_Print_Area_1" localSheetId="0">#REF!</definedName>
    <definedName name="_xlnm_Print_Area_1">#REF!</definedName>
    <definedName name="_xlnm.Print_Area" localSheetId="0">'ANEXO I'!$A$1:$J$65</definedName>
  </definedNames>
  <calcPr fullCalcOnLoad="1"/>
</workbook>
</file>

<file path=xl/sharedStrings.xml><?xml version="1.0" encoding="utf-8"?>
<sst xmlns="http://schemas.openxmlformats.org/spreadsheetml/2006/main" count="396" uniqueCount="208">
  <si>
    <t>ESPECIFICAÇÃO</t>
  </si>
  <si>
    <t>UNIDADE DE MEDIDA</t>
  </si>
  <si>
    <t>BOLSA</t>
  </si>
  <si>
    <t>MUNICÍPIOS</t>
  </si>
  <si>
    <t>ENTIDADE</t>
  </si>
  <si>
    <t>UNIDADE</t>
  </si>
  <si>
    <t>REFEIÇÃO SERVIDA</t>
  </si>
  <si>
    <t>CGSF</t>
  </si>
  <si>
    <t>CCIVV</t>
  </si>
  <si>
    <t>CCICM</t>
  </si>
  <si>
    <t>CCINF</t>
  </si>
  <si>
    <t>CCANM</t>
  </si>
  <si>
    <t>CSDGB</t>
  </si>
  <si>
    <t>Número de adolescentes atendidos no Centro de Convivência</t>
  </si>
  <si>
    <t>PROTEÇÃO SOCIAL AO IDOSO</t>
  </si>
  <si>
    <t>PROTEÇÃO SOCIAL AO ADOLESCENTE E JOVEM</t>
  </si>
  <si>
    <t>SHOW DE NATAL</t>
  </si>
  <si>
    <t>PROTEÇÃO SOCIAL ÀS FAMÍLIA</t>
  </si>
  <si>
    <t>CIGO</t>
  </si>
  <si>
    <t>ATENÇÃO SOCIAL ÀS FAMÍLIAS EM SITUAÇÃO DE VULNERABILIDADE SOCIAL</t>
  </si>
  <si>
    <t>RESTAURANTE CIDADÃO</t>
  </si>
  <si>
    <t>USUÁRIO</t>
  </si>
  <si>
    <t>FAMILIARES</t>
  </si>
  <si>
    <t>Número de acolhimentos na Casa do Interior</t>
  </si>
  <si>
    <t>ROMEIROS</t>
  </si>
  <si>
    <t>Número de romeiros apoiados no Centro de Apoio ao Romeiro na Romaria de Trindade</t>
  </si>
  <si>
    <t>Número de romeiros apoiados no Centro de Apoio ao Romeiro na Romaria de Muquém</t>
  </si>
  <si>
    <t>Número de visitantes na Aldeia do Papai Noel</t>
  </si>
  <si>
    <t>VISITANTES</t>
  </si>
  <si>
    <t xml:space="preserve">Número de crianças atendidas </t>
  </si>
  <si>
    <t>SEGURANÇA ALIMENTAR</t>
  </si>
  <si>
    <t>CENTRO DE APOIO AOS ROMEIROS</t>
  </si>
  <si>
    <t>CAMPANHAS, EVENTOS DE PROTEÇÃO E
 INCLUSÃO SOCIAL</t>
  </si>
  <si>
    <t>FÍSICA</t>
  </si>
  <si>
    <t>FINANCEIRA</t>
  </si>
  <si>
    <t>Entidades que receberam doações diretas para a instituição.</t>
  </si>
  <si>
    <t>Acolhimentos de pessoas realizados na unidade.</t>
  </si>
  <si>
    <t>Romeiros e cidadãos que receberam atendimento no CAR.</t>
  </si>
  <si>
    <t>BOLSA UNIVERSITÁRIA</t>
  </si>
  <si>
    <t>APOIO A ESTUDANTES</t>
  </si>
  <si>
    <t>Visitantes que participaram durante todo o período de realização do evento.</t>
  </si>
  <si>
    <t>Idosos ativos no Centro Dia que são atendidos na unidade, bem como os idosos em acompanhamento ou  que receberam atendimento da equipe técnica em suas residências.</t>
  </si>
  <si>
    <t>Idosos ativos no Centro de Convivência no mês de referência e que frequentaram as diversas atividades oferecidas, conforme frequência de cada uma, bem como os idosos ativos que, ainda que não tiveram frequência nas atividades que estão inscritos, estão em acompanhamento e foram assistidos pela equipe técnica multiprofissional.</t>
  </si>
  <si>
    <t>30 (média/mês)</t>
  </si>
  <si>
    <t>12 (média/mês)</t>
  </si>
  <si>
    <t>120 (média/mês)</t>
  </si>
  <si>
    <t>215 (média/mês)</t>
  </si>
  <si>
    <t>PREVISÃO DE DESPESAS</t>
  </si>
  <si>
    <t>JULHO</t>
  </si>
  <si>
    <t>AGOSTO</t>
  </si>
  <si>
    <t>SETEMBRO</t>
  </si>
  <si>
    <t>PESSOAL E ENCARGOS</t>
  </si>
  <si>
    <t>DESPESAS CORRENTES</t>
  </si>
  <si>
    <t>DESPESAS FINANCEIRAS</t>
  </si>
  <si>
    <t>INVESTIMENTOS</t>
  </si>
  <si>
    <t>Despesas Operacionais</t>
  </si>
  <si>
    <t>TOTAL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</si>
  <si>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</si>
  <si>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</si>
  <si>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</si>
  <si>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</si>
  <si>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</si>
  <si>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</si>
  <si>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</si>
  <si>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</si>
  <si>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</si>
  <si>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Valor Total de Gasto dos Restaurante</t>
  </si>
  <si>
    <t>Apoio Administrativo</t>
  </si>
  <si>
    <t>SEDE</t>
  </si>
  <si>
    <t>APOIO ADMINISTRATIVO</t>
  </si>
  <si>
    <t>BANCO DE ALIMENTOS</t>
  </si>
  <si>
    <t>SANTO ANTÔNIO RESTAURANTE</t>
  </si>
  <si>
    <t>PREVISÃO DE METAS</t>
  </si>
  <si>
    <t>Refeições servidas aos usuários nas unidades.</t>
  </si>
  <si>
    <t>Despesas com aluguel</t>
  </si>
  <si>
    <t>Adolescentes ativos no Centro de Convivência no mês de referência e que frequentaram as diversas atividades oferecidas, conforme frequência de cada uma, bem como os adolescentes ativos que, ainda que não tiveram frequência nas atividades que estão inscritos, estão em acompanhamento e foram assistidos pela equipe técnica multiprofissional.</t>
  </si>
  <si>
    <t>17 (média/mês)</t>
  </si>
  <si>
    <t>Número de crianças beneficiadas com brinquedo.</t>
  </si>
  <si>
    <t>80 (média/mês)</t>
  </si>
  <si>
    <t>Complexo Gerontólogico Sagrada Família - CGSF</t>
  </si>
  <si>
    <t>Centro Convivência de Idosos Vila Vida</t>
  </si>
  <si>
    <t>250 (média/mês)</t>
  </si>
  <si>
    <t>280 (média/mês)</t>
  </si>
  <si>
    <t>Idosos que residem na instituição e idosos que residem nas Casas Lares que são transferidos para ILPI por necessitarem de mais cuidados em virtude de dependência física temporária ou permanente.</t>
  </si>
  <si>
    <t>Idosos que residem nas unidades habitacionais, considerando ainda os idosos transferidos temporariamente à ILPI até que haja a definição quanto à transferência permanente ou retorno à Casa Lar.</t>
  </si>
  <si>
    <t>Familiares das adolescentes e jovens usuárias do Programa Meninas de Luz que participaram das atividades propostas.</t>
  </si>
  <si>
    <t>Municípios que implantaram a metodologia do Programa.</t>
  </si>
  <si>
    <t>COMPLEXO GERONTOLÓGICO SAGRADA FAMÍLIA</t>
  </si>
  <si>
    <t>CENTRO DE CONVIVÊNCIA DE IDOSOS VILA VIDA</t>
  </si>
  <si>
    <t>CENTRO DE CONVIVÊNCIA DE IDOSOS CÂNDIDA DE MORAIS</t>
  </si>
  <si>
    <t>CENTRO DE CONVIVÊNCIA 
DE IDOSOS NORTE FERROVIÁRIO</t>
  </si>
  <si>
    <t>CENTRO DE CONVIVÊNCIA DE ADOLESCENTES</t>
  </si>
  <si>
    <t xml:space="preserve">Usuária com atendimento socioassistencial, atuação direta da equipe técnica, encaminhamentos à rede socioassistencial, bem como repasse de benefícios. </t>
  </si>
  <si>
    <t xml:space="preserve">Usuário com atendimento socioassistencial, atuação direta da equipe técnica, encaminhamentos à rede socioassistencial, bem como repasse de benefícios. Será considerado um usuário para cada tipo de benefício concedido. </t>
  </si>
  <si>
    <t>CASA DO INTERIOR
DE GOIÁS</t>
  </si>
  <si>
    <t>Número de pessoas acolhidas</t>
  </si>
  <si>
    <t>Número de gestantes atendidas</t>
  </si>
  <si>
    <t>Número de entidades sociais apoiadas</t>
  </si>
  <si>
    <t>Número de entidades sociais assessoradas / capacitadas</t>
  </si>
  <si>
    <t>Número de adolescentes e jovens atendidas no Programa Meninas de Luz</t>
  </si>
  <si>
    <t>Número de familiares integrados ao Programa Meninas de Luz</t>
  </si>
  <si>
    <t>Número de parcerias firmadas com municípios no Programa Meninas de Luz</t>
  </si>
  <si>
    <t>Número de idosos atendidos no Centro de Convivência</t>
  </si>
  <si>
    <t>Número de moradores das Casas Lares</t>
  </si>
  <si>
    <t>Número de moradores na ILPI</t>
  </si>
  <si>
    <t>Número de idosos atendidos no Centro Dia</t>
  </si>
  <si>
    <t>PROGRAMA RESTAURANTE CIDADÃO</t>
  </si>
  <si>
    <t xml:space="preserve"> - Restaurante Cidadão Goiânia Centro
 - Restaurante Cidadão Goiânia Campinas
 - Restaurante Cidadão Anápolis Centro</t>
  </si>
  <si>
    <t xml:space="preserve">Total de Bolsas </t>
  </si>
  <si>
    <t xml:space="preserve">Número de Bolsa Universitária Integral </t>
  </si>
  <si>
    <t xml:space="preserve">Número de Bolsa Universitária Parcial </t>
  </si>
  <si>
    <t>CENTRO DE APOIO AO ROMEIRO</t>
  </si>
  <si>
    <t>REDE DE VOLUNTARIADO, INVESTIMENTO E PARCERIAS SOCIAIS</t>
  </si>
  <si>
    <t xml:space="preserve">Pessoas que participaram das capacitações promovidas pela OVG. </t>
  </si>
  <si>
    <t xml:space="preserve">Entidades que participaram das capacitações promovidas pela OVG, bem como as que foram assessoradas pela equipe técnica. </t>
  </si>
  <si>
    <t xml:space="preserve">Número de pessoas capacitadas  </t>
  </si>
  <si>
    <t>NATAL</t>
  </si>
  <si>
    <t>ACOLHI-MENTOS</t>
  </si>
  <si>
    <t>PROGRAMA BOLSA UNIVERSITÁRIA</t>
  </si>
  <si>
    <t>CASA DO INTERIOR DE GOIÁS</t>
  </si>
  <si>
    <t>Total de Despesas Bolsas Universitária 2019/2</t>
  </si>
  <si>
    <t>Despesas Bolsa Universitária Integral (2019/2)</t>
  </si>
  <si>
    <t>Despesas Bolsa Universitária Parcial (2019/2)</t>
  </si>
  <si>
    <t>Total de Despesas Bolsas Universitária 2020/1</t>
  </si>
  <si>
    <t>Despesas Bolsa Universitária Integral (2020/1)</t>
  </si>
  <si>
    <t>Despesas Bolsa Universitária Parcial (2020/1)</t>
  </si>
  <si>
    <t>66 (média/mês)</t>
  </si>
  <si>
    <t>295 (média/mês)</t>
  </si>
  <si>
    <t>90 (média/mês)</t>
  </si>
  <si>
    <t xml:space="preserve"> 24  (média/mês)</t>
  </si>
  <si>
    <t>Usuário com atendimento socioassistencial, atuação direta da equipe técnica, encaminhamentos à rede socioassistencial, bem como repasse de benefícios, inclusive de itens de proteção às vitimas de queimaduras. Será considerado um usuário para cada tipo de benefício concedido.</t>
  </si>
  <si>
    <t>245.813 (média/mês)</t>
  </si>
  <si>
    <t xml:space="preserve"> 20.500 (média/mês)</t>
  </si>
  <si>
    <t>763 (média/mês)</t>
  </si>
  <si>
    <t>CENTRO SOCIAL DONA GERCINA 
BORGES TEIXEIRA</t>
  </si>
  <si>
    <t>GERÊNCIA DE VOLUNTARIADO
E PARCERIAS SOCIAIS</t>
  </si>
  <si>
    <t>Brinquedos doados.</t>
  </si>
  <si>
    <t>PROTEÇÃO SOCIAL À FAMÍLIAS E INDIVÍDUOS 
EM SITUAÇÃO DE VULNERABILIDADE SOCIAL</t>
  </si>
  <si>
    <t>345 (média/mês)</t>
  </si>
  <si>
    <t>Número de crianças beneficiadas com brinquedo</t>
  </si>
  <si>
    <t>Bolsas integrais e parciais ativas em 2020/1.</t>
  </si>
  <si>
    <t>Bolsas integrais e parciais ativas em 2019/2.</t>
  </si>
  <si>
    <t>Bolsas integrais ativas.</t>
  </si>
  <si>
    <t>Bolsas parciais ativas.</t>
  </si>
  <si>
    <r>
      <t>14.000</t>
    </r>
    <r>
      <rPr>
        <u val="single"/>
        <sz val="9"/>
        <color indexed="8"/>
        <rFont val="Arial"/>
        <family val="2"/>
      </rPr>
      <t xml:space="preserve"> (média/mês)</t>
    </r>
  </si>
  <si>
    <r>
      <t xml:space="preserve">10.000 </t>
    </r>
    <r>
      <rPr>
        <u val="single"/>
        <sz val="9"/>
        <color indexed="8"/>
        <rFont val="Arial"/>
        <family val="2"/>
      </rPr>
      <t>(média/mês)</t>
    </r>
  </si>
  <si>
    <t>350 (média/mês)</t>
  </si>
  <si>
    <t>400 (média/mês)</t>
  </si>
  <si>
    <t>5.568 (média/mês)</t>
  </si>
  <si>
    <t>Valor total das refeições servidas nas 12 (doze) unidades do Restaurante Cidadão (em funcionamento) PROTEGE</t>
  </si>
  <si>
    <t>Valor total das refeições servidas nas 02 (duas) unidades do Restaurante Cidadão (a implantar) PROTEGE</t>
  </si>
  <si>
    <t>Despesas Operacionais - PROTEGE</t>
  </si>
  <si>
    <t>Despesas Operacionais - TESOURO</t>
  </si>
  <si>
    <t>Despesas com Aluguel - PROTEGE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</si>
  <si>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</si>
  <si>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</si>
  <si>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</si>
  <si>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</si>
  <si>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</si>
  <si>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</si>
  <si>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</si>
  <si>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</si>
  <si>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</si>
  <si>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</si>
  <si>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</si>
  <si>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</si>
  <si>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Depesas Operacionais via TESOURO</t>
  </si>
  <si>
    <t>Depesas Operacionais via PROTEGE</t>
  </si>
  <si>
    <t>OVG</t>
  </si>
  <si>
    <t>VALOR GASTO 2018</t>
  </si>
  <si>
    <t>Valor 13 TA</t>
  </si>
  <si>
    <t xml:space="preserve">Valor anual 14 TA (COM ÀGUA E LUZ) </t>
  </si>
  <si>
    <t xml:space="preserve">Valor anual 14 TA (SEM ÀGUA E LUZ) </t>
  </si>
  <si>
    <t>TOTAL DO Contrato</t>
  </si>
  <si>
    <t>TOTAL DE DESPESAS - PESSOAL E ENCARGOS</t>
  </si>
  <si>
    <t>TOTAL DE DESPESAS - MANUTENÇÃO</t>
  </si>
  <si>
    <t>TOTAL DE DESPESAS - PROGRAMA BOLSA</t>
  </si>
  <si>
    <t>TOTAL DE DESPESAS - PROGRAMA RESTAURANTE</t>
  </si>
  <si>
    <t xml:space="preserve"> COMPLEXO GERONTOLÓGICO SAGRADA FAMÍLIA - CGSF</t>
  </si>
  <si>
    <t xml:space="preserve">CENTRO DE CONVIVÊNCIA DE IDOSOS VILA VIDA - CCIVV </t>
  </si>
  <si>
    <t xml:space="preserve"> CENTRO DE CONVIVÊNCIA DE IDOSOS CÂNDIDA DE MORAIS - CCICM </t>
  </si>
  <si>
    <t xml:space="preserve">CENTRO DE CONVIVÊNCIA DE IDOSOS NORTE FERROVIÁRIO - CCINF </t>
  </si>
  <si>
    <t>CENTRO DE CONVIVÊNCIA DE ADOLESCENTES NOVO MUNDO - CCANM</t>
  </si>
  <si>
    <t>CENTRO SOCIAL DONA GERCINA BORGES</t>
  </si>
  <si>
    <t>CENTRO GOIANO DE VOLUNTÁRIOS - CGV</t>
  </si>
  <si>
    <t>GERÊNCIA DE ASSESSORAMENTO E BENEFICÍO - SERVIÇOS</t>
  </si>
  <si>
    <t>NATAL OVG</t>
  </si>
  <si>
    <t>DESPESAS MUQUEM</t>
  </si>
  <si>
    <t>DESPESAS TRINDADE</t>
  </si>
  <si>
    <t>RESTAURANTE CIDADÃO (DESPESAS OPERACIONAIS)</t>
  </si>
  <si>
    <t>RESTAURANTE CIDADÃO (DESPESAS COM REFEIÇÕES)</t>
  </si>
  <si>
    <t>RESTAURANTE CIDADÃO (DESPESAS COM ALUGUEL)</t>
  </si>
  <si>
    <t>RESTAURANTE CIDADÃO (DESPESAS COM TESOURO)</t>
  </si>
  <si>
    <t>BOLSA UNIVERSITÁRIA (DESPESAS Operacionais)</t>
  </si>
  <si>
    <t>DESPESAS COM BOLSA ESTUDANTIL</t>
  </si>
  <si>
    <t>SEDE - DESPESAS DE APOIO ADMINISTRATIVO</t>
  </si>
  <si>
    <t xml:space="preserve">Valor anual 14 TA </t>
  </si>
  <si>
    <t xml:space="preserve">RESTAURANTE CIDADÃO </t>
  </si>
  <si>
    <t>INTEGRAÇÃO AO MUNDO
DO TRABALHO</t>
  </si>
  <si>
    <t>PROTEÇÃO SOCIAL À FAMÍLIAS E INDIVÍDUOS EM SITUAÇÃO DE VULNERABILIDADE SOCIAL</t>
  </si>
  <si>
    <t>Número de cidadãos atendidos (pessoas com deficiências, idosos, vítimas de queimaduras e outros)</t>
  </si>
  <si>
    <t>Número de refeições servidas nas 12 (doze) unidades do Restaurante Cidadão (em funcionamento) - PROTEGE</t>
  </si>
  <si>
    <t>Número de refeições servidas nas 02 (duas) unidades do Restaurante Cidadão (a implantar) - PROTEGE</t>
  </si>
  <si>
    <r>
      <rPr>
        <b/>
        <u val="single"/>
        <sz val="9"/>
        <rFont val="Arial"/>
        <family val="2"/>
      </rPr>
      <t>403</t>
    </r>
    <r>
      <rPr>
        <u val="single"/>
        <sz val="9"/>
        <rFont val="Arial"/>
        <family val="2"/>
      </rPr>
      <t xml:space="preserve"> (média/mês)</t>
    </r>
  </si>
  <si>
    <r>
      <rPr>
        <b/>
        <u val="single"/>
        <sz val="9"/>
        <rFont val="Arial"/>
        <family val="2"/>
      </rPr>
      <t>793</t>
    </r>
    <r>
      <rPr>
        <u val="single"/>
        <sz val="9"/>
        <rFont val="Arial"/>
        <family val="2"/>
      </rPr>
      <t xml:space="preserve"> (média/mês)</t>
    </r>
  </si>
  <si>
    <t>GERÊNCIA DE VOLUNTARIADO E
PARCERIAS SOCIAIS</t>
  </si>
  <si>
    <t>1            (média/mês)</t>
  </si>
  <si>
    <t>ORÇAMENTO ANUAL PREVISTO NO PLANO DE TRABALHO DO 14º ADITIVO
PERÍODO: JULHO DE 2019 a JUNHO DE 2020
ANEXO I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</si>
</sst>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;[Red]#,##0"/>
    <numFmt numFmtId="171" formatCode="_-&quot;R$ &quot;* #,##0.00_-;&quot;-R$ &quot;* #,##0.00_-;_-&quot;R$ &quot;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&quot;R$&quot;\ #,##0.00"/>
    <numFmt numFmtId="180" formatCode="0.0"/>
    <numFmt numFmtId="181" formatCode="#,##0.00000"/>
    <numFmt numFmtId="182" formatCode="[$-416]dddd\,\ d&quot; de &quot;mmmm&quot; de &quot;yyyy"/>
    <numFmt numFmtId="183" formatCode="&quot;Ativar&quot;;&quot;Ativar&quot;;&quot;Desativar&quot;"/>
    <numFmt numFmtId="184" formatCode="_-&quot;R$&quot;\ * #,##0.0000_-;\-&quot;R$&quot;\ * #,##0.0000_-;_-&quot;R$&quot;\ * &quot;-&quot;??_-;_-@_-"/>
    <numFmt numFmtId="185" formatCode="_-&quot;R$&quot;\ * #,##0.00000_-;\-&quot;R$&quot;\ * #,##0.00000_-;_-&quot;R$&quot;\ * &quot;-&quot;??_-;_-@_-"/>
    <numFmt numFmtId="186" formatCode="_-* #,##0_-;\-* #,##0_-;_-* &quot;-&quot;??_-;_-@_-"/>
    <numFmt numFmtId="187" formatCode="#,##0_ ;\-#,##0\ "/>
    <numFmt numFmtId="188" formatCode="_-&quot;R$&quot;\ * #,##0.000_-;\-&quot;R$&quot;\ * #,##0.000_-;_-&quot;R$&quot;\ * &quot;-&quot;??_-;_-@_-"/>
  </numFmts>
  <fonts count="8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Accounting"/>
      <sz val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u val="single"/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Accounting"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slantDashDot"/>
      <right style="slantDashDot"/>
      <top style="slantDashDot"/>
      <bottom style="slantDashDot"/>
    </border>
    <border>
      <left style="double"/>
      <right style="double"/>
      <top/>
      <bottom style="double"/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6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62" fillId="0" borderId="0">
      <alignment/>
      <protection/>
    </xf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53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4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10" fillId="34" borderId="11" xfId="61" applyNumberFormat="1" applyFont="1" applyFill="1" applyBorder="1" applyAlignment="1">
      <alignment horizontal="justify" vertical="center" wrapText="1"/>
      <protection/>
    </xf>
    <xf numFmtId="44" fontId="10" fillId="0" borderId="11" xfId="47" applyFont="1" applyBorder="1" applyAlignment="1">
      <alignment vertical="center"/>
    </xf>
    <xf numFmtId="44" fontId="10" fillId="0" borderId="11" xfId="47" applyFont="1" applyBorder="1" applyAlignment="1">
      <alignment horizontal="center"/>
    </xf>
    <xf numFmtId="0" fontId="11" fillId="0" borderId="0" xfId="0" applyFont="1" applyAlignment="1">
      <alignment/>
    </xf>
    <xf numFmtId="0" fontId="10" fillId="34" borderId="12" xfId="61" applyNumberFormat="1" applyFont="1" applyFill="1" applyBorder="1" applyAlignment="1">
      <alignment horizontal="justify" vertical="center" wrapText="1"/>
      <protection/>
    </xf>
    <xf numFmtId="44" fontId="10" fillId="0" borderId="12" xfId="47" applyFont="1" applyBorder="1" applyAlignment="1">
      <alignment vertical="center"/>
    </xf>
    <xf numFmtId="0" fontId="10" fillId="35" borderId="12" xfId="61" applyNumberFormat="1" applyFont="1" applyFill="1" applyBorder="1" applyAlignment="1">
      <alignment horizontal="justify" vertical="center" wrapText="1"/>
      <protection/>
    </xf>
    <xf numFmtId="0" fontId="10" fillId="0" borderId="12" xfId="61" applyNumberFormat="1" applyFont="1" applyFill="1" applyBorder="1" applyAlignment="1">
      <alignment horizontal="justify" vertical="center" wrapText="1"/>
      <protection/>
    </xf>
    <xf numFmtId="44" fontId="10" fillId="0" borderId="12" xfId="47" applyFont="1" applyBorder="1" applyAlignment="1">
      <alignment/>
    </xf>
    <xf numFmtId="0" fontId="10" fillId="35" borderId="13" xfId="61" applyNumberFormat="1" applyFont="1" applyFill="1" applyBorder="1" applyAlignment="1">
      <alignment horizontal="justify" vertical="center" wrapText="1"/>
      <protection/>
    </xf>
    <xf numFmtId="44" fontId="10" fillId="0" borderId="13" xfId="47" applyFont="1" applyBorder="1" applyAlignment="1">
      <alignment vertical="center"/>
    </xf>
    <xf numFmtId="44" fontId="10" fillId="0" borderId="13" xfId="47" applyFont="1" applyBorder="1" applyAlignment="1">
      <alignment/>
    </xf>
    <xf numFmtId="0" fontId="10" fillId="34" borderId="11" xfId="0" applyNumberFormat="1" applyFont="1" applyFill="1" applyBorder="1" applyAlignment="1">
      <alignment horizontal="justify" vertical="center" wrapText="1"/>
    </xf>
    <xf numFmtId="44" fontId="10" fillId="0" borderId="11" xfId="47" applyFont="1" applyBorder="1" applyAlignment="1">
      <alignment/>
    </xf>
    <xf numFmtId="0" fontId="73" fillId="0" borderId="11" xfId="61" applyNumberFormat="1" applyFont="1" applyFill="1" applyBorder="1" applyAlignment="1">
      <alignment horizontal="justify" vertical="center" wrapText="1"/>
      <protection/>
    </xf>
    <xf numFmtId="44" fontId="10" fillId="0" borderId="14" xfId="47" applyFont="1" applyBorder="1" applyAlignment="1">
      <alignment vertical="center"/>
    </xf>
    <xf numFmtId="44" fontId="10" fillId="0" borderId="15" xfId="47" applyFont="1" applyBorder="1" applyAlignment="1">
      <alignment vertical="center"/>
    </xf>
    <xf numFmtId="0" fontId="10" fillId="34" borderId="16" xfId="61" applyNumberFormat="1" applyFont="1" applyFill="1" applyBorder="1" applyAlignment="1">
      <alignment horizontal="justify" vertical="center" wrapText="1"/>
      <protection/>
    </xf>
    <xf numFmtId="44" fontId="10" fillId="0" borderId="16" xfId="47" applyFont="1" applyBorder="1" applyAlignment="1">
      <alignment vertical="center"/>
    </xf>
    <xf numFmtId="44" fontId="10" fillId="0" borderId="16" xfId="47" applyFont="1" applyBorder="1" applyAlignment="1">
      <alignment/>
    </xf>
    <xf numFmtId="0" fontId="8" fillId="0" borderId="11" xfId="61" applyNumberFormat="1" applyFont="1" applyFill="1" applyBorder="1" applyAlignment="1">
      <alignment horizontal="justify" vertical="center" wrapText="1"/>
      <protection/>
    </xf>
    <xf numFmtId="0" fontId="8" fillId="0" borderId="12" xfId="61" applyNumberFormat="1" applyFont="1" applyFill="1" applyBorder="1" applyAlignment="1">
      <alignment horizontal="justify" vertical="center" wrapText="1"/>
      <protection/>
    </xf>
    <xf numFmtId="0" fontId="8" fillId="35" borderId="12" xfId="61" applyNumberFormat="1" applyFont="1" applyFill="1" applyBorder="1" applyAlignment="1">
      <alignment horizontal="justify" vertical="center" wrapText="1"/>
      <protection/>
    </xf>
    <xf numFmtId="0" fontId="8" fillId="34" borderId="13" xfId="61" applyNumberFormat="1" applyFont="1" applyFill="1" applyBorder="1" applyAlignment="1">
      <alignment horizontal="justify" vertical="center" wrapText="1"/>
      <protection/>
    </xf>
    <xf numFmtId="0" fontId="8" fillId="34" borderId="17" xfId="61" applyNumberFormat="1" applyFont="1" applyFill="1" applyBorder="1" applyAlignment="1">
      <alignment horizontal="justify" vertical="center" wrapText="1"/>
      <protection/>
    </xf>
    <xf numFmtId="0" fontId="8" fillId="34" borderId="11" xfId="61" applyNumberFormat="1" applyFont="1" applyFill="1" applyBorder="1" applyAlignment="1">
      <alignment horizontal="justify" vertical="center" wrapText="1"/>
      <protection/>
    </xf>
    <xf numFmtId="0" fontId="8" fillId="34" borderId="12" xfId="61" applyNumberFormat="1" applyFont="1" applyFill="1" applyBorder="1" applyAlignment="1">
      <alignment horizontal="justify" vertical="center" wrapText="1"/>
      <protection/>
    </xf>
    <xf numFmtId="44" fontId="10" fillId="0" borderId="15" xfId="47" applyFont="1" applyBorder="1" applyAlignment="1">
      <alignment/>
    </xf>
    <xf numFmtId="44" fontId="10" fillId="0" borderId="14" xfId="47" applyFont="1" applyBorder="1" applyAlignment="1">
      <alignment/>
    </xf>
    <xf numFmtId="0" fontId="8" fillId="35" borderId="15" xfId="61" applyNumberFormat="1" applyFont="1" applyFill="1" applyBorder="1" applyAlignment="1">
      <alignment horizontal="justify" vertical="center" wrapText="1"/>
      <protection/>
    </xf>
    <xf numFmtId="0" fontId="8" fillId="0" borderId="16" xfId="61" applyNumberFormat="1" applyFont="1" applyFill="1" applyBorder="1" applyAlignment="1">
      <alignment horizontal="justify" vertical="center" wrapText="1"/>
      <protection/>
    </xf>
    <xf numFmtId="44" fontId="10" fillId="0" borderId="16" xfId="47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10" fillId="36" borderId="14" xfId="47" applyFont="1" applyFill="1" applyBorder="1" applyAlignment="1">
      <alignment vertical="center"/>
    </xf>
    <xf numFmtId="44" fontId="12" fillId="0" borderId="14" xfId="47" applyFont="1" applyBorder="1" applyAlignment="1">
      <alignment vertical="center"/>
    </xf>
    <xf numFmtId="44" fontId="12" fillId="36" borderId="14" xfId="47" applyFont="1" applyFill="1" applyBorder="1" applyAlignment="1">
      <alignment vertical="center"/>
    </xf>
    <xf numFmtId="44" fontId="10" fillId="36" borderId="16" xfId="47" applyFont="1" applyFill="1" applyBorder="1" applyAlignment="1">
      <alignment vertical="center"/>
    </xf>
    <xf numFmtId="44" fontId="10" fillId="36" borderId="12" xfId="47" applyFont="1" applyFill="1" applyBorder="1" applyAlignment="1">
      <alignment vertical="center"/>
    </xf>
    <xf numFmtId="44" fontId="10" fillId="36" borderId="13" xfId="47" applyFont="1" applyFill="1" applyBorder="1" applyAlignment="1">
      <alignment vertical="center"/>
    </xf>
    <xf numFmtId="44" fontId="10" fillId="36" borderId="11" xfId="47" applyFont="1" applyFill="1" applyBorder="1" applyAlignment="1">
      <alignment vertical="center"/>
    </xf>
    <xf numFmtId="44" fontId="10" fillId="36" borderId="15" xfId="47" applyFont="1" applyFill="1" applyBorder="1" applyAlignment="1">
      <alignment vertical="center"/>
    </xf>
    <xf numFmtId="44" fontId="12" fillId="0" borderId="11" xfId="47" applyFont="1" applyBorder="1" applyAlignment="1">
      <alignment horizontal="center" vertical="center"/>
    </xf>
    <xf numFmtId="44" fontId="12" fillId="36" borderId="11" xfId="47" applyFont="1" applyFill="1" applyBorder="1" applyAlignment="1">
      <alignment horizontal="center" vertical="center"/>
    </xf>
    <xf numFmtId="44" fontId="12" fillId="0" borderId="11" xfId="47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textRotation="90" wrapText="1"/>
    </xf>
    <xf numFmtId="0" fontId="74" fillId="34" borderId="16" xfId="0" applyFont="1" applyFill="1" applyBorder="1" applyAlignment="1">
      <alignment horizontal="center" vertical="center" textRotation="90" wrapText="1"/>
    </xf>
    <xf numFmtId="0" fontId="14" fillId="34" borderId="16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44" fontId="10" fillId="36" borderId="11" xfId="47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 textRotation="90" wrapText="1"/>
    </xf>
    <xf numFmtId="0" fontId="74" fillId="34" borderId="13" xfId="0" applyFont="1" applyFill="1" applyBorder="1" applyAlignment="1">
      <alignment horizontal="center" vertical="center" textRotation="90" wrapText="1"/>
    </xf>
    <xf numFmtId="44" fontId="16" fillId="37" borderId="16" xfId="0" applyNumberFormat="1" applyFont="1" applyFill="1" applyBorder="1" applyAlignment="1">
      <alignment/>
    </xf>
    <xf numFmtId="0" fontId="13" fillId="33" borderId="21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44" fontId="12" fillId="0" borderId="12" xfId="47" applyFont="1" applyBorder="1" applyAlignment="1">
      <alignment vertical="center"/>
    </xf>
    <xf numFmtId="0" fontId="9" fillId="37" borderId="16" xfId="0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vertical="center" wrapText="1"/>
    </xf>
    <xf numFmtId="44" fontId="10" fillId="37" borderId="12" xfId="47" applyFont="1" applyFill="1" applyBorder="1" applyAlignment="1">
      <alignment vertical="center"/>
    </xf>
    <xf numFmtId="44" fontId="10" fillId="37" borderId="13" xfId="47" applyFont="1" applyFill="1" applyBorder="1" applyAlignment="1">
      <alignment vertical="center"/>
    </xf>
    <xf numFmtId="44" fontId="10" fillId="37" borderId="11" xfId="47" applyFont="1" applyFill="1" applyBorder="1" applyAlignment="1">
      <alignment vertical="center"/>
    </xf>
    <xf numFmtId="44" fontId="10" fillId="37" borderId="16" xfId="47" applyFont="1" applyFill="1" applyBorder="1" applyAlignment="1">
      <alignment vertical="center"/>
    </xf>
    <xf numFmtId="44" fontId="11" fillId="0" borderId="0" xfId="0" applyNumberFormat="1" applyFont="1" applyAlignment="1">
      <alignment/>
    </xf>
    <xf numFmtId="44" fontId="1" fillId="0" borderId="0" xfId="47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44" fontId="8" fillId="0" borderId="0" xfId="0" applyNumberFormat="1" applyFont="1" applyAlignment="1">
      <alignment/>
    </xf>
    <xf numFmtId="44" fontId="1" fillId="0" borderId="0" xfId="47" applyAlignment="1">
      <alignment horizontal="center" vertical="center" wrapText="1"/>
    </xf>
    <xf numFmtId="44" fontId="1" fillId="0" borderId="0" xfId="47" applyAlignment="1">
      <alignment horizontal="center" vertical="center" textRotation="90" wrapText="1"/>
    </xf>
    <xf numFmtId="44" fontId="1" fillId="0" borderId="0" xfId="47" applyAlignment="1">
      <alignment horizontal="justify" vertical="center" wrapText="1"/>
    </xf>
    <xf numFmtId="44" fontId="1" fillId="0" borderId="0" xfId="47" applyBorder="1" applyAlignment="1">
      <alignment vertical="center"/>
    </xf>
    <xf numFmtId="44" fontId="76" fillId="0" borderId="0" xfId="47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7" fillId="0" borderId="0" xfId="0" applyFont="1" applyAlignment="1">
      <alignment horizontal="center" vertical="center" wrapText="1"/>
    </xf>
    <xf numFmtId="44" fontId="10" fillId="0" borderId="24" xfId="47" applyFont="1" applyBorder="1" applyAlignment="1">
      <alignment vertical="center"/>
    </xf>
    <xf numFmtId="44" fontId="10" fillId="0" borderId="24" xfId="47" applyFont="1" applyBorder="1" applyAlignment="1">
      <alignment horizontal="center" vertical="center"/>
    </xf>
    <xf numFmtId="44" fontId="10" fillId="36" borderId="24" xfId="47" applyFont="1" applyFill="1" applyBorder="1" applyAlignment="1">
      <alignment horizontal="center" vertical="center"/>
    </xf>
    <xf numFmtId="44" fontId="10" fillId="36" borderId="14" xfId="47" applyFont="1" applyFill="1" applyBorder="1" applyAlignment="1">
      <alignment horizontal="center" vertical="center"/>
    </xf>
    <xf numFmtId="44" fontId="10" fillId="36" borderId="12" xfId="47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textRotation="90" wrapText="1"/>
    </xf>
    <xf numFmtId="0" fontId="74" fillId="34" borderId="12" xfId="0" applyFont="1" applyFill="1" applyBorder="1" applyAlignment="1">
      <alignment horizontal="center" vertical="center" textRotation="90" wrapText="1"/>
    </xf>
    <xf numFmtId="44" fontId="10" fillId="0" borderId="12" xfId="47" applyFont="1" applyBorder="1" applyAlignment="1">
      <alignment horizontal="center" vertical="center"/>
    </xf>
    <xf numFmtId="44" fontId="10" fillId="0" borderId="12" xfId="47" applyFont="1" applyBorder="1" applyAlignment="1">
      <alignment horizontal="center"/>
    </xf>
    <xf numFmtId="44" fontId="10" fillId="0" borderId="14" xfId="47" applyFont="1" applyBorder="1" applyAlignment="1">
      <alignment horizontal="center"/>
    </xf>
    <xf numFmtId="44" fontId="10" fillId="36" borderId="11" xfId="47" applyFont="1" applyFill="1" applyBorder="1" applyAlignment="1">
      <alignment horizontal="center" vertical="center"/>
    </xf>
    <xf numFmtId="44" fontId="10" fillId="0" borderId="11" xfId="47" applyFont="1" applyBorder="1" applyAlignment="1">
      <alignment horizontal="center" vertical="center"/>
    </xf>
    <xf numFmtId="44" fontId="10" fillId="0" borderId="24" xfId="47" applyFont="1" applyBorder="1" applyAlignment="1">
      <alignment horizontal="center"/>
    </xf>
    <xf numFmtId="44" fontId="10" fillId="37" borderId="12" xfId="47" applyFont="1" applyFill="1" applyBorder="1" applyAlignment="1">
      <alignment vertical="center"/>
    </xf>
    <xf numFmtId="44" fontId="10" fillId="37" borderId="11" xfId="47" applyFont="1" applyFill="1" applyBorder="1" applyAlignment="1">
      <alignment vertical="center"/>
    </xf>
    <xf numFmtId="44" fontId="10" fillId="37" borderId="14" xfId="47" applyFont="1" applyFill="1" applyBorder="1" applyAlignment="1">
      <alignment vertical="center"/>
    </xf>
    <xf numFmtId="44" fontId="10" fillId="36" borderId="24" xfId="47" applyFont="1" applyFill="1" applyBorder="1" applyAlignment="1">
      <alignment horizontal="center" vertical="center"/>
    </xf>
    <xf numFmtId="44" fontId="10" fillId="36" borderId="11" xfId="47" applyFont="1" applyFill="1" applyBorder="1" applyAlignment="1">
      <alignment horizontal="center" vertical="center"/>
    </xf>
    <xf numFmtId="169" fontId="11" fillId="0" borderId="0" xfId="0" applyNumberFormat="1" applyFont="1" applyAlignment="1">
      <alignment/>
    </xf>
    <xf numFmtId="44" fontId="12" fillId="36" borderId="12" xfId="47" applyFont="1" applyFill="1" applyBorder="1" applyAlignment="1">
      <alignment vertical="center"/>
    </xf>
    <xf numFmtId="16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8" fillId="13" borderId="26" xfId="0" applyFont="1" applyFill="1" applyBorder="1" applyAlignment="1">
      <alignment/>
    </xf>
    <xf numFmtId="0" fontId="78" fillId="13" borderId="27" xfId="0" applyFont="1" applyFill="1" applyBorder="1" applyAlignment="1">
      <alignment/>
    </xf>
    <xf numFmtId="0" fontId="23" fillId="38" borderId="28" xfId="61" applyNumberFormat="1" applyFont="1" applyFill="1" applyBorder="1" applyAlignment="1">
      <alignment horizontal="left" vertical="center" wrapText="1"/>
      <protection/>
    </xf>
    <xf numFmtId="169" fontId="23" fillId="9" borderId="28" xfId="61" applyNumberFormat="1" applyFont="1" applyFill="1" applyBorder="1" applyAlignment="1">
      <alignment horizontal="left" vertical="center" wrapText="1"/>
      <protection/>
    </xf>
    <xf numFmtId="44" fontId="78" fillId="38" borderId="28" xfId="0" applyNumberFormat="1" applyFont="1" applyFill="1" applyBorder="1" applyAlignment="1">
      <alignment vertical="center"/>
    </xf>
    <xf numFmtId="0" fontId="23" fillId="3" borderId="29" xfId="61" applyNumberFormat="1" applyFont="1" applyFill="1" applyBorder="1" applyAlignment="1">
      <alignment horizontal="left" vertical="center" wrapText="1"/>
      <protection/>
    </xf>
    <xf numFmtId="44" fontId="23" fillId="7" borderId="29" xfId="54" applyFont="1" applyFill="1" applyBorder="1" applyAlignment="1">
      <alignment horizontal="left" vertical="center" wrapText="1"/>
    </xf>
    <xf numFmtId="44" fontId="23" fillId="3" borderId="29" xfId="5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30" xfId="61" applyNumberFormat="1" applyFont="1" applyFill="1" applyBorder="1" applyAlignment="1">
      <alignment horizontal="left" vertical="center" wrapText="1"/>
      <protection/>
    </xf>
    <xf numFmtId="44" fontId="23" fillId="9" borderId="30" xfId="54" applyFont="1" applyFill="1" applyBorder="1" applyAlignment="1">
      <alignment horizontal="left" vertical="center" wrapText="1"/>
    </xf>
    <xf numFmtId="44" fontId="78" fillId="9" borderId="30" xfId="0" applyNumberFormat="1" applyFont="1" applyFill="1" applyBorder="1" applyAlignment="1">
      <alignment vertical="center"/>
    </xf>
    <xf numFmtId="44" fontId="79" fillId="0" borderId="30" xfId="0" applyNumberFormat="1" applyFont="1" applyFill="1" applyBorder="1" applyAlignment="1">
      <alignment vertical="center"/>
    </xf>
    <xf numFmtId="0" fontId="0" fillId="0" borderId="25" xfId="61" applyNumberFormat="1" applyFont="1" applyFill="1" applyBorder="1" applyAlignment="1">
      <alignment horizontal="left" vertical="center" wrapText="1"/>
      <protection/>
    </xf>
    <xf numFmtId="44" fontId="23" fillId="9" borderId="25" xfId="54" applyFont="1" applyFill="1" applyBorder="1" applyAlignment="1">
      <alignment horizontal="left" vertical="center" wrapText="1"/>
    </xf>
    <xf numFmtId="44" fontId="78" fillId="9" borderId="25" xfId="0" applyNumberFormat="1" applyFont="1" applyFill="1" applyBorder="1" applyAlignment="1">
      <alignment vertical="center"/>
    </xf>
    <xf numFmtId="44" fontId="79" fillId="0" borderId="25" xfId="0" applyNumberFormat="1" applyFont="1" applyFill="1" applyBorder="1" applyAlignment="1">
      <alignment vertical="center"/>
    </xf>
    <xf numFmtId="44" fontId="78" fillId="9" borderId="25" xfId="54" applyFont="1" applyFill="1" applyBorder="1" applyAlignment="1">
      <alignment horizontal="center" vertical="center"/>
    </xf>
    <xf numFmtId="44" fontId="79" fillId="0" borderId="25" xfId="54" applyFont="1" applyFill="1" applyBorder="1" applyAlignment="1">
      <alignment horizontal="center" vertical="center"/>
    </xf>
    <xf numFmtId="8" fontId="78" fillId="9" borderId="25" xfId="0" applyNumberFormat="1" applyFont="1" applyFill="1" applyBorder="1" applyAlignment="1">
      <alignment vertical="center"/>
    </xf>
    <xf numFmtId="8" fontId="79" fillId="0" borderId="25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21" fillId="10" borderId="31" xfId="61" applyNumberFormat="1" applyFont="1" applyFill="1" applyBorder="1" applyAlignment="1">
      <alignment horizontal="center" vertical="center" wrapText="1"/>
      <protection/>
    </xf>
    <xf numFmtId="0" fontId="5" fillId="0" borderId="31" xfId="61" applyNumberFormat="1" applyFont="1" applyFill="1" applyBorder="1" applyAlignment="1">
      <alignment horizontal="justify" vertical="center" wrapText="1"/>
      <protection/>
    </xf>
    <xf numFmtId="0" fontId="5" fillId="0" borderId="31" xfId="61" applyNumberFormat="1" applyFont="1" applyFill="1" applyBorder="1" applyAlignment="1">
      <alignment horizontal="center" vertical="center" wrapText="1"/>
      <protection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justify" vertical="center" wrapText="1"/>
    </xf>
    <xf numFmtId="3" fontId="5" fillId="0" borderId="31" xfId="61" applyNumberFormat="1" applyFont="1" applyFill="1" applyBorder="1" applyAlignment="1">
      <alignment horizontal="center" vertical="center" wrapText="1"/>
      <protection/>
    </xf>
    <xf numFmtId="0" fontId="80" fillId="0" borderId="31" xfId="61" applyNumberFormat="1" applyFont="1" applyFill="1" applyBorder="1" applyAlignment="1">
      <alignment horizontal="justify" vertical="center" wrapText="1"/>
      <protection/>
    </xf>
    <xf numFmtId="0" fontId="80" fillId="0" borderId="31" xfId="61" applyNumberFormat="1" applyFont="1" applyFill="1" applyBorder="1" applyAlignment="1">
      <alignment horizontal="center" vertical="center" wrapText="1"/>
      <protection/>
    </xf>
    <xf numFmtId="0" fontId="5" fillId="34" borderId="31" xfId="0" applyFont="1" applyFill="1" applyBorder="1" applyAlignment="1">
      <alignment horizontal="justify" vertical="center" wrapText="1"/>
    </xf>
    <xf numFmtId="0" fontId="4" fillId="0" borderId="31" xfId="61" applyNumberFormat="1" applyFont="1" applyFill="1" applyBorder="1" applyAlignment="1">
      <alignment horizontal="justify" vertical="center" wrapText="1"/>
      <protection/>
    </xf>
    <xf numFmtId="0" fontId="4" fillId="0" borderId="31" xfId="61" applyNumberFormat="1" applyFont="1" applyFill="1" applyBorder="1" applyAlignment="1">
      <alignment horizontal="center" vertical="center" wrapText="1"/>
      <protection/>
    </xf>
    <xf numFmtId="0" fontId="4" fillId="35" borderId="31" xfId="61" applyNumberFormat="1" applyFont="1" applyFill="1" applyBorder="1" applyAlignment="1">
      <alignment horizontal="justify" vertical="center" wrapText="1"/>
      <protection/>
    </xf>
    <xf numFmtId="0" fontId="4" fillId="35" borderId="31" xfId="61" applyNumberFormat="1" applyFont="1" applyFill="1" applyBorder="1" applyAlignment="1">
      <alignment horizontal="center" vertical="center" wrapText="1"/>
      <protection/>
    </xf>
    <xf numFmtId="0" fontId="4" fillId="34" borderId="31" xfId="61" applyNumberFormat="1" applyFont="1" applyFill="1" applyBorder="1" applyAlignment="1">
      <alignment horizontal="justify" vertical="center" wrapText="1"/>
      <protection/>
    </xf>
    <xf numFmtId="0" fontId="4" fillId="34" borderId="31" xfId="61" applyNumberFormat="1" applyFont="1" applyFill="1" applyBorder="1" applyAlignment="1">
      <alignment horizontal="center" vertical="center" wrapText="1"/>
      <protection/>
    </xf>
    <xf numFmtId="0" fontId="5" fillId="34" borderId="31" xfId="61" applyNumberFormat="1" applyFont="1" applyFill="1" applyBorder="1" applyAlignment="1">
      <alignment horizontal="justify" vertical="center" wrapText="1"/>
      <protection/>
    </xf>
    <xf numFmtId="0" fontId="5" fillId="34" borderId="31" xfId="61" applyNumberFormat="1" applyFont="1" applyFill="1" applyBorder="1" applyAlignment="1">
      <alignment horizontal="center" vertical="center" wrapText="1"/>
      <protection/>
    </xf>
    <xf numFmtId="3" fontId="5" fillId="34" borderId="31" xfId="61" applyNumberFormat="1" applyFont="1" applyFill="1" applyBorder="1" applyAlignment="1">
      <alignment horizontal="center" vertical="center" wrapText="1"/>
      <protection/>
    </xf>
    <xf numFmtId="0" fontId="4" fillId="34" borderId="31" xfId="0" applyFont="1" applyFill="1" applyBorder="1" applyAlignment="1">
      <alignment horizontal="center" vertical="center" wrapText="1"/>
    </xf>
    <xf numFmtId="3" fontId="4" fillId="34" borderId="31" xfId="61" applyNumberFormat="1" applyFont="1" applyFill="1" applyBorder="1" applyAlignment="1">
      <alignment horizontal="center" vertical="center" wrapText="1"/>
      <protection/>
    </xf>
    <xf numFmtId="0" fontId="4" fillId="34" borderId="31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22" fillId="0" borderId="31" xfId="61" applyNumberFormat="1" applyFont="1" applyFill="1" applyBorder="1" applyAlignment="1">
      <alignment horizontal="justify" vertical="center" wrapText="1"/>
      <protection/>
    </xf>
    <xf numFmtId="0" fontId="22" fillId="34" borderId="31" xfId="0" applyFont="1" applyFill="1" applyBorder="1" applyAlignment="1">
      <alignment horizontal="justify" vertical="center" wrapText="1"/>
    </xf>
    <xf numFmtId="3" fontId="20" fillId="0" borderId="31" xfId="61" applyNumberFormat="1" applyFont="1" applyFill="1" applyBorder="1" applyAlignment="1">
      <alignment horizontal="center" vertical="center" wrapText="1"/>
      <protection/>
    </xf>
    <xf numFmtId="3" fontId="5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69" fontId="75" fillId="34" borderId="0" xfId="0" applyNumberFormat="1" applyFont="1" applyFill="1" applyAlignment="1">
      <alignment horizontal="center" vertical="center" wrapText="1"/>
    </xf>
    <xf numFmtId="8" fontId="10" fillId="0" borderId="14" xfId="47" applyNumberFormat="1" applyFont="1" applyBorder="1" applyAlignment="1">
      <alignment horizontal="center" vertical="center"/>
    </xf>
    <xf numFmtId="8" fontId="10" fillId="36" borderId="14" xfId="47" applyNumberFormat="1" applyFont="1" applyFill="1" applyBorder="1" applyAlignment="1">
      <alignment horizontal="center" vertical="center"/>
    </xf>
    <xf numFmtId="8" fontId="10" fillId="0" borderId="14" xfId="47" applyNumberFormat="1" applyFont="1" applyBorder="1" applyAlignment="1">
      <alignment vertical="center"/>
    </xf>
    <xf numFmtId="8" fontId="10" fillId="0" borderId="16" xfId="47" applyNumberFormat="1" applyFont="1" applyBorder="1" applyAlignment="1">
      <alignment vertical="center"/>
    </xf>
    <xf numFmtId="8" fontId="10" fillId="36" borderId="16" xfId="47" applyNumberFormat="1" applyFont="1" applyFill="1" applyBorder="1" applyAlignment="1">
      <alignment horizontal="center" vertical="center"/>
    </xf>
    <xf numFmtId="8" fontId="8" fillId="0" borderId="0" xfId="0" applyNumberFormat="1" applyFont="1" applyAlignment="1">
      <alignment/>
    </xf>
    <xf numFmtId="3" fontId="4" fillId="0" borderId="31" xfId="61" applyNumberFormat="1" applyFont="1" applyFill="1" applyBorder="1" applyAlignment="1">
      <alignment horizontal="center" vertical="center" wrapText="1"/>
      <protection/>
    </xf>
    <xf numFmtId="0" fontId="7" fillId="10" borderId="31" xfId="0" applyNumberFormat="1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7" fillId="10" borderId="31" xfId="0" applyFont="1" applyFill="1" applyBorder="1" applyAlignment="1">
      <alignment horizontal="center" vertical="center"/>
    </xf>
    <xf numFmtId="0" fontId="80" fillId="34" borderId="31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justify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4" borderId="31" xfId="0" applyFont="1" applyFill="1" applyBorder="1" applyAlignment="1">
      <alignment vertical="center" textRotation="90" wrapText="1"/>
    </xf>
    <xf numFmtId="44" fontId="25" fillId="0" borderId="31" xfId="0" applyNumberFormat="1" applyFont="1" applyBorder="1" applyAlignment="1">
      <alignment vertical="center"/>
    </xf>
    <xf numFmtId="44" fontId="6" fillId="10" borderId="31" xfId="0" applyNumberFormat="1" applyFont="1" applyFill="1" applyBorder="1" applyAlignment="1">
      <alignment horizontal="center" vertical="center" wrapText="1"/>
    </xf>
    <xf numFmtId="44" fontId="6" fillId="10" borderId="31" xfId="0" applyNumberFormat="1" applyFont="1" applyFill="1" applyBorder="1" applyAlignment="1">
      <alignment horizontal="center" vertical="center"/>
    </xf>
    <xf numFmtId="44" fontId="6" fillId="10" borderId="31" xfId="47" applyFont="1" applyFill="1" applyBorder="1" applyAlignment="1">
      <alignment vertical="center"/>
    </xf>
    <xf numFmtId="44" fontId="25" fillId="0" borderId="31" xfId="47" applyFont="1" applyBorder="1" applyAlignment="1">
      <alignment vertical="center"/>
    </xf>
    <xf numFmtId="44" fontId="24" fillId="0" borderId="31" xfId="47" applyFont="1" applyBorder="1" applyAlignment="1">
      <alignment vertical="center"/>
    </xf>
    <xf numFmtId="44" fontId="26" fillId="0" borderId="31" xfId="47" applyFont="1" applyBorder="1" applyAlignment="1">
      <alignment vertical="center"/>
    </xf>
    <xf numFmtId="44" fontId="25" fillId="0" borderId="31" xfId="0" applyNumberFormat="1" applyFont="1" applyFill="1" applyBorder="1" applyAlignment="1">
      <alignment horizontal="center" vertical="center"/>
    </xf>
    <xf numFmtId="44" fontId="6" fillId="16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/>
    </xf>
    <xf numFmtId="0" fontId="3" fillId="0" borderId="0" xfId="0" applyNumberFormat="1" applyFont="1" applyAlignment="1">
      <alignment vertical="top"/>
    </xf>
    <xf numFmtId="0" fontId="27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horizontal="center" vertical="center"/>
    </xf>
    <xf numFmtId="0" fontId="27" fillId="0" borderId="0" xfId="0" applyNumberFormat="1" applyFont="1" applyAlignment="1">
      <alignment horizontal="right"/>
    </xf>
    <xf numFmtId="3" fontId="22" fillId="0" borderId="31" xfId="61" applyNumberFormat="1" applyFont="1" applyFill="1" applyBorder="1" applyAlignment="1">
      <alignment horizontal="center" vertical="center" wrapText="1"/>
      <protection/>
    </xf>
    <xf numFmtId="44" fontId="24" fillId="0" borderId="31" xfId="47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44" fontId="75" fillId="34" borderId="0" xfId="0" applyNumberFormat="1" applyFont="1" applyFill="1" applyAlignment="1">
      <alignment horizontal="center" vertical="center" wrapText="1"/>
    </xf>
    <xf numFmtId="3" fontId="4" fillId="0" borderId="32" xfId="61" applyNumberFormat="1" applyFont="1" applyFill="1" applyBorder="1" applyAlignment="1">
      <alignment horizontal="center" vertical="center" wrapText="1"/>
      <protection/>
    </xf>
    <xf numFmtId="3" fontId="4" fillId="0" borderId="33" xfId="61" applyNumberFormat="1" applyFont="1" applyFill="1" applyBorder="1" applyAlignment="1">
      <alignment horizontal="center" vertical="center" wrapText="1"/>
      <protection/>
    </xf>
    <xf numFmtId="0" fontId="4" fillId="16" borderId="3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3" fontId="4" fillId="0" borderId="31" xfId="61" applyNumberFormat="1" applyFont="1" applyFill="1" applyBorder="1" applyAlignment="1">
      <alignment horizontal="center" vertical="center" wrapText="1"/>
      <protection/>
    </xf>
    <xf numFmtId="0" fontId="4" fillId="34" borderId="31" xfId="0" applyFont="1" applyFill="1" applyBorder="1" applyAlignment="1">
      <alignment horizontal="center" vertical="center" textRotation="90" wrapText="1"/>
    </xf>
    <xf numFmtId="44" fontId="24" fillId="0" borderId="31" xfId="47" applyFont="1" applyBorder="1" applyAlignment="1">
      <alignment horizontal="center" vertical="center"/>
    </xf>
    <xf numFmtId="44" fontId="24" fillId="0" borderId="34" xfId="47" applyFont="1" applyBorder="1" applyAlignment="1">
      <alignment horizontal="center" vertical="center"/>
    </xf>
    <xf numFmtId="44" fontId="24" fillId="0" borderId="35" xfId="47" applyFont="1" applyBorder="1" applyAlignment="1">
      <alignment horizontal="center" vertical="center"/>
    </xf>
    <xf numFmtId="44" fontId="24" fillId="0" borderId="36" xfId="47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textRotation="90" wrapText="1"/>
    </xf>
    <xf numFmtId="0" fontId="4" fillId="34" borderId="35" xfId="0" applyFont="1" applyFill="1" applyBorder="1" applyAlignment="1">
      <alignment horizontal="center" vertical="center" textRotation="90" wrapText="1"/>
    </xf>
    <xf numFmtId="0" fontId="4" fillId="34" borderId="36" xfId="0" applyFont="1" applyFill="1" applyBorder="1" applyAlignment="1">
      <alignment horizontal="center" vertical="center" textRotation="90" wrapText="1"/>
    </xf>
    <xf numFmtId="0" fontId="4" fillId="35" borderId="32" xfId="61" applyNumberFormat="1" applyFont="1" applyFill="1" applyBorder="1" applyAlignment="1">
      <alignment horizontal="center" vertical="center" wrapText="1"/>
      <protection/>
    </xf>
    <xf numFmtId="0" fontId="4" fillId="35" borderId="33" xfId="61" applyNumberFormat="1" applyFont="1" applyFill="1" applyBorder="1" applyAlignment="1">
      <alignment horizontal="center" vertical="center" wrapText="1"/>
      <protection/>
    </xf>
    <xf numFmtId="0" fontId="81" fillId="10" borderId="31" xfId="0" applyFont="1" applyFill="1" applyBorder="1" applyAlignment="1">
      <alignment horizontal="center" vertical="center" wrapText="1"/>
    </xf>
    <xf numFmtId="0" fontId="7" fillId="10" borderId="31" xfId="0" applyNumberFormat="1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/>
    </xf>
    <xf numFmtId="44" fontId="25" fillId="0" borderId="31" xfId="47" applyFont="1" applyBorder="1" applyAlignment="1">
      <alignment vertical="center"/>
    </xf>
    <xf numFmtId="44" fontId="25" fillId="0" borderId="31" xfId="47" applyFont="1" applyBorder="1" applyAlignment="1">
      <alignment horizontal="center" vertical="center"/>
    </xf>
    <xf numFmtId="0" fontId="80" fillId="34" borderId="31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5" fillId="34" borderId="34" xfId="0" applyFont="1" applyFill="1" applyBorder="1" applyAlignment="1">
      <alignment horizontal="justify" vertical="center" wrapText="1"/>
    </xf>
    <xf numFmtId="0" fontId="5" fillId="34" borderId="36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44" fontId="24" fillId="0" borderId="31" xfId="47" applyFont="1" applyBorder="1" applyAlignment="1">
      <alignment vertical="center"/>
    </xf>
    <xf numFmtId="0" fontId="21" fillId="10" borderId="31" xfId="61" applyNumberFormat="1" applyFont="1" applyFill="1" applyBorder="1" applyAlignment="1">
      <alignment horizontal="left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81" fillId="10" borderId="31" xfId="0" applyNumberFormat="1" applyFont="1" applyFill="1" applyBorder="1" applyAlignment="1">
      <alignment horizontal="center" vertical="center" wrapText="1"/>
    </xf>
    <xf numFmtId="44" fontId="10" fillId="0" borderId="15" xfId="47" applyFont="1" applyBorder="1" applyAlignment="1">
      <alignment horizontal="center" vertical="center"/>
    </xf>
    <xf numFmtId="44" fontId="10" fillId="0" borderId="37" xfId="47" applyFont="1" applyBorder="1" applyAlignment="1">
      <alignment horizontal="center" vertical="center"/>
    </xf>
    <xf numFmtId="0" fontId="82" fillId="33" borderId="38" xfId="0" applyNumberFormat="1" applyFont="1" applyFill="1" applyBorder="1" applyAlignment="1">
      <alignment horizontal="center" vertical="center" wrapText="1"/>
    </xf>
    <xf numFmtId="0" fontId="82" fillId="33" borderId="39" xfId="0" applyNumberFormat="1" applyFont="1" applyFill="1" applyBorder="1" applyAlignment="1">
      <alignment horizontal="center" vertical="center" wrapText="1"/>
    </xf>
    <xf numFmtId="0" fontId="82" fillId="33" borderId="40" xfId="0" applyNumberFormat="1" applyFont="1" applyFill="1" applyBorder="1" applyAlignment="1">
      <alignment horizontal="center" vertical="center" wrapText="1"/>
    </xf>
    <xf numFmtId="0" fontId="82" fillId="33" borderId="41" xfId="0" applyNumberFormat="1" applyFont="1" applyFill="1" applyBorder="1" applyAlignment="1">
      <alignment horizontal="center" vertical="center" wrapText="1"/>
    </xf>
    <xf numFmtId="0" fontId="82" fillId="33" borderId="0" xfId="0" applyNumberFormat="1" applyFont="1" applyFill="1" applyBorder="1" applyAlignment="1">
      <alignment horizontal="center" vertical="center" wrapText="1"/>
    </xf>
    <xf numFmtId="0" fontId="82" fillId="33" borderId="42" xfId="0" applyNumberFormat="1" applyFont="1" applyFill="1" applyBorder="1" applyAlignment="1">
      <alignment horizontal="center" vertical="center" wrapText="1"/>
    </xf>
    <xf numFmtId="0" fontId="9" fillId="33" borderId="43" xfId="0" applyNumberFormat="1" applyFont="1" applyFill="1" applyBorder="1" applyAlignment="1">
      <alignment horizontal="center" vertical="center"/>
    </xf>
    <xf numFmtId="0" fontId="9" fillId="33" borderId="44" xfId="0" applyNumberFormat="1" applyFont="1" applyFill="1" applyBorder="1" applyAlignment="1">
      <alignment horizontal="center" vertical="center"/>
    </xf>
    <xf numFmtId="0" fontId="9" fillId="33" borderId="45" xfId="0" applyNumberFormat="1" applyFont="1" applyFill="1" applyBorder="1" applyAlignment="1">
      <alignment horizontal="center" vertical="center"/>
    </xf>
    <xf numFmtId="0" fontId="74" fillId="34" borderId="46" xfId="0" applyFont="1" applyFill="1" applyBorder="1" applyAlignment="1">
      <alignment horizontal="center" vertical="center" textRotation="90" wrapText="1"/>
    </xf>
    <xf numFmtId="0" fontId="74" fillId="34" borderId="47" xfId="0" applyFont="1" applyFill="1" applyBorder="1" applyAlignment="1">
      <alignment horizontal="center" vertical="center" textRotation="90" wrapText="1"/>
    </xf>
    <xf numFmtId="0" fontId="74" fillId="34" borderId="48" xfId="0" applyFont="1" applyFill="1" applyBorder="1" applyAlignment="1">
      <alignment horizontal="center" vertical="center" textRotation="90" wrapText="1"/>
    </xf>
    <xf numFmtId="44" fontId="10" fillId="0" borderId="11" xfId="47" applyFont="1" applyBorder="1" applyAlignment="1">
      <alignment horizontal="center" vertical="center"/>
    </xf>
    <xf numFmtId="44" fontId="10" fillId="0" borderId="12" xfId="47" applyFont="1" applyBorder="1" applyAlignment="1">
      <alignment horizontal="center" vertical="center"/>
    </xf>
    <xf numFmtId="44" fontId="10" fillId="0" borderId="11" xfId="47" applyFont="1" applyBorder="1" applyAlignment="1">
      <alignment vertical="center"/>
    </xf>
    <xf numFmtId="44" fontId="10" fillId="0" borderId="12" xfId="47" applyFont="1" applyBorder="1" applyAlignment="1">
      <alignment vertical="center"/>
    </xf>
    <xf numFmtId="44" fontId="10" fillId="0" borderId="11" xfId="47" applyFont="1" applyBorder="1" applyAlignment="1">
      <alignment horizontal="center"/>
    </xf>
    <xf numFmtId="44" fontId="10" fillId="0" borderId="12" xfId="47" applyFont="1" applyBorder="1" applyAlignment="1">
      <alignment horizontal="center"/>
    </xf>
    <xf numFmtId="44" fontId="10" fillId="36" borderId="11" xfId="47" applyFont="1" applyFill="1" applyBorder="1" applyAlignment="1">
      <alignment horizontal="center" vertical="center"/>
    </xf>
    <xf numFmtId="44" fontId="10" fillId="36" borderId="12" xfId="47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textRotation="90" wrapText="1"/>
    </xf>
    <xf numFmtId="0" fontId="74" fillId="34" borderId="12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34" borderId="24" xfId="0" applyFont="1" applyFill="1" applyBorder="1" applyAlignment="1">
      <alignment horizontal="center" vertical="center" textRotation="90" wrapText="1"/>
    </xf>
    <xf numFmtId="0" fontId="14" fillId="34" borderId="17" xfId="0" applyFont="1" applyFill="1" applyBorder="1" applyAlignment="1">
      <alignment horizontal="center" vertical="center" textRotation="90" wrapText="1"/>
    </xf>
    <xf numFmtId="44" fontId="10" fillId="0" borderId="24" xfId="47" applyFont="1" applyBorder="1" applyAlignment="1">
      <alignment vertical="center"/>
    </xf>
    <xf numFmtId="44" fontId="10" fillId="0" borderId="17" xfId="47" applyFont="1" applyBorder="1" applyAlignment="1">
      <alignment vertical="center"/>
    </xf>
    <xf numFmtId="44" fontId="10" fillId="36" borderId="24" xfId="47" applyFont="1" applyFill="1" applyBorder="1" applyAlignment="1">
      <alignment horizontal="center" vertical="center"/>
    </xf>
    <xf numFmtId="44" fontId="10" fillId="36" borderId="17" xfId="47" applyFont="1" applyFill="1" applyBorder="1" applyAlignment="1">
      <alignment horizontal="center" vertical="center"/>
    </xf>
    <xf numFmtId="44" fontId="10" fillId="0" borderId="24" xfId="47" applyFont="1" applyBorder="1" applyAlignment="1">
      <alignment horizontal="center" vertical="center"/>
    </xf>
    <xf numFmtId="44" fontId="10" fillId="0" borderId="17" xfId="47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textRotation="90" wrapText="1"/>
    </xf>
    <xf numFmtId="0" fontId="14" fillId="34" borderId="13" xfId="0" applyFont="1" applyFill="1" applyBorder="1" applyAlignment="1">
      <alignment horizontal="center" vertical="center" textRotation="90" wrapText="1"/>
    </xf>
    <xf numFmtId="44" fontId="10" fillId="0" borderId="13" xfId="47" applyFont="1" applyBorder="1" applyAlignment="1">
      <alignment vertical="center"/>
    </xf>
    <xf numFmtId="44" fontId="10" fillId="37" borderId="11" xfId="47" applyFont="1" applyFill="1" applyBorder="1" applyAlignment="1">
      <alignment vertical="center"/>
    </xf>
    <xf numFmtId="44" fontId="10" fillId="37" borderId="12" xfId="47" applyFont="1" applyFill="1" applyBorder="1" applyAlignment="1">
      <alignment vertical="center"/>
    </xf>
    <xf numFmtId="44" fontId="10" fillId="37" borderId="13" xfId="47" applyFont="1" applyFill="1" applyBorder="1" applyAlignment="1">
      <alignment vertical="center"/>
    </xf>
    <xf numFmtId="44" fontId="10" fillId="0" borderId="11" xfId="47" applyFont="1" applyFill="1" applyBorder="1" applyAlignment="1">
      <alignment vertical="center"/>
    </xf>
    <xf numFmtId="44" fontId="10" fillId="0" borderId="12" xfId="47" applyFont="1" applyFill="1" applyBorder="1" applyAlignment="1">
      <alignment vertical="center"/>
    </xf>
    <xf numFmtId="44" fontId="10" fillId="37" borderId="24" xfId="47" applyFont="1" applyFill="1" applyBorder="1" applyAlignment="1">
      <alignment horizontal="center" vertical="center"/>
    </xf>
    <xf numFmtId="44" fontId="10" fillId="37" borderId="17" xfId="47" applyFont="1" applyFill="1" applyBorder="1" applyAlignment="1">
      <alignment horizontal="center" vertical="center"/>
    </xf>
    <xf numFmtId="44" fontId="10" fillId="0" borderId="24" xfId="47" applyFont="1" applyFill="1" applyBorder="1" applyAlignment="1">
      <alignment horizontal="center" vertical="center"/>
    </xf>
    <xf numFmtId="44" fontId="10" fillId="0" borderId="17" xfId="47" applyFont="1" applyFill="1" applyBorder="1" applyAlignment="1">
      <alignment horizontal="center" vertical="center"/>
    </xf>
    <xf numFmtId="44" fontId="12" fillId="39" borderId="24" xfId="47" applyFont="1" applyFill="1" applyBorder="1" applyAlignment="1">
      <alignment horizontal="center" vertical="center"/>
    </xf>
    <xf numFmtId="44" fontId="12" fillId="39" borderId="17" xfId="47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3" borderId="45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23" fillId="13" borderId="25" xfId="0" applyNumberFormat="1" applyFont="1" applyFill="1" applyBorder="1" applyAlignment="1">
      <alignment horizontal="left" vertical="center" wrapText="1"/>
    </xf>
    <xf numFmtId="0" fontId="23" fillId="9" borderId="28" xfId="0" applyNumberFormat="1" applyFont="1" applyFill="1" applyBorder="1" applyAlignment="1">
      <alignment horizontal="center" vertical="center" wrapText="1"/>
    </xf>
    <xf numFmtId="0" fontId="23" fillId="9" borderId="30" xfId="0" applyNumberFormat="1" applyFont="1" applyFill="1" applyBorder="1" applyAlignment="1">
      <alignment horizontal="center" vertical="center" wrapText="1"/>
    </xf>
    <xf numFmtId="0" fontId="78" fillId="9" borderId="25" xfId="0" applyFont="1" applyFill="1" applyBorder="1" applyAlignment="1">
      <alignment horizontal="center" vertical="center" wrapText="1"/>
    </xf>
    <xf numFmtId="8" fontId="78" fillId="9" borderId="28" xfId="0" applyNumberFormat="1" applyFont="1" applyFill="1" applyBorder="1" applyAlignment="1">
      <alignment horizontal="center" vertical="center"/>
    </xf>
    <xf numFmtId="8" fontId="78" fillId="9" borderId="30" xfId="0" applyNumberFormat="1" applyFont="1" applyFill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Moeda 2" xfId="49"/>
    <cellStyle name="Moeda 2 2" xfId="50"/>
    <cellStyle name="Moeda 2 3" xfId="51"/>
    <cellStyle name="Moeda 2 4" xfId="52"/>
    <cellStyle name="Moeda 2 5" xfId="53"/>
    <cellStyle name="Moeda 3" xfId="54"/>
    <cellStyle name="Moeda 4" xfId="55"/>
    <cellStyle name="Moeda 5" xfId="56"/>
    <cellStyle name="Moeda 5 2" xfId="57"/>
    <cellStyle name="Moeda 6" xfId="58"/>
    <cellStyle name="Moeda 7" xfId="59"/>
    <cellStyle name="Neutro" xfId="60"/>
    <cellStyle name="Normal 2" xfId="61"/>
    <cellStyle name="Normal 2 2" xfId="62"/>
    <cellStyle name="Normal 3" xfId="63"/>
    <cellStyle name="Normal 4" xfId="64"/>
    <cellStyle name="Nota" xfId="65"/>
    <cellStyle name="Percent" xfId="66"/>
    <cellStyle name="Porcentagem 2" xfId="67"/>
    <cellStyle name="Ruim" xfId="68"/>
    <cellStyle name="Saíd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5" xfId="78"/>
    <cellStyle name="Total" xfId="79"/>
    <cellStyle name="Comma" xfId="80"/>
    <cellStyle name="Vírgula 2" xfId="81"/>
    <cellStyle name="Vírgula 3" xfId="82"/>
    <cellStyle name="Vírgula 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1457325</xdr:colOff>
      <xdr:row>1</xdr:row>
      <xdr:rowOff>371475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628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847725</xdr:colOff>
      <xdr:row>0</xdr:row>
      <xdr:rowOff>19050</xdr:rowOff>
    </xdr:from>
    <xdr:to>
      <xdr:col>9</xdr:col>
      <xdr:colOff>1466850</xdr:colOff>
      <xdr:row>1</xdr:row>
      <xdr:rowOff>381000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1905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7.1.1\gfin\CI%20-%20Despachos%20-%20Ofic&#237;os\PROVISIONAMENTO%20DE%20DESPESAS\OR&#199;AMENTO%20BASE%20-%2014&#176;%20Termo%20Aditivo%20-%2018.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SOAL ROGÉRIO"/>
      <sheetName val="PESSOAL E ENCARGOS"/>
      <sheetName val="TOTAL"/>
      <sheetName val="Média das Despesas Àgua e Luz"/>
      <sheetName val="CGSF DEP CORRENTES"/>
      <sheetName val="CGSF PESSOAL E ENCARGOS"/>
      <sheetName val="CCIVV DEP CORRENTES"/>
      <sheetName val="CCIVV DEP PESSOAL "/>
      <sheetName val="CCICM DEP CORRENTES"/>
      <sheetName val="CCICM PESSOAL E ENCARGOS"/>
      <sheetName val="CCINF DESPESAS CORRENTES"/>
      <sheetName val="CCINF PESSOAL E ENCARGOS"/>
      <sheetName val="CCANM DESPESAS CORRENTES"/>
      <sheetName val="CCANM PESSOAL E ENCARGOS"/>
      <sheetName val="CSDGB DESPESAS CORRENTES"/>
      <sheetName val="CSDGB PESSOAL E ENCARGOS"/>
      <sheetName val="CIGO DESPESAS CORRENTES"/>
      <sheetName val="CIGO PESSOAL E ENCARGOS"/>
      <sheetName val="CGV DESPESAS CORRENTES"/>
      <sheetName val="CGV PESSOAL E ENCARGOS"/>
      <sheetName val="GASB DESPESAS OPERACIONAIS"/>
      <sheetName val="GASB PESSOAL E ENCARGOS"/>
      <sheetName val="METAS GASB I"/>
      <sheetName val="METAS GASB II"/>
      <sheetName val="METAS GASB III"/>
      <sheetName val="METAS GASB IV"/>
      <sheetName val="COMPARATIVO"/>
      <sheetName val="NATAL DESPESAS OPERACIONAL"/>
      <sheetName val="ROMARIAS MUQUÉM"/>
      <sheetName val="ROMARIA TRINDADE"/>
      <sheetName val="SEDE DESPESAS CORRENTES"/>
      <sheetName val="SEDE PESSOAL E ENCARGOS "/>
      <sheetName val="RESTAURANTE DESPESAS OPERACIONA"/>
      <sheetName val="RESTAURANTE PESSOAL E ENCARGOS"/>
      <sheetName val="PBU DESPESAS OPERACIONAIS"/>
      <sheetName val="SEM REGISTROS"/>
      <sheetName val="PBU PESSOAL E ENCARGOS"/>
      <sheetName val="RECURSOS PRÓPIO"/>
      <sheetName val="Planilha2"/>
    </sheetNames>
    <sheetDataSet>
      <sheetData sheetId="0">
        <row r="27">
          <cell r="AD27">
            <v>2224730.2394742286</v>
          </cell>
        </row>
        <row r="49">
          <cell r="AD49">
            <v>1285672.6595456542</v>
          </cell>
        </row>
        <row r="70">
          <cell r="AD70">
            <v>1158138.9626435505</v>
          </cell>
        </row>
        <row r="90">
          <cell r="AD90">
            <v>997372.6346479561</v>
          </cell>
        </row>
        <row r="111">
          <cell r="AD111">
            <v>1281799.0862670415</v>
          </cell>
        </row>
        <row r="132">
          <cell r="AD132">
            <v>2034287.2845974565</v>
          </cell>
        </row>
        <row r="152">
          <cell r="AD152">
            <v>5380214.347206575</v>
          </cell>
        </row>
        <row r="172">
          <cell r="AD172">
            <v>4419376.342727917</v>
          </cell>
        </row>
        <row r="192">
          <cell r="AD192">
            <v>1223000.580664106</v>
          </cell>
        </row>
        <row r="212">
          <cell r="AD212">
            <v>3353662.2934555886</v>
          </cell>
        </row>
        <row r="255">
          <cell r="AD255">
            <v>18539378.18676946</v>
          </cell>
        </row>
      </sheetData>
      <sheetData sheetId="1">
        <row r="4">
          <cell r="B4">
            <v>29609254</v>
          </cell>
          <cell r="C4">
            <v>41547244.98</v>
          </cell>
          <cell r="D4">
            <v>42067632.61799953</v>
          </cell>
          <cell r="E4">
            <v>3459165.790354749</v>
          </cell>
          <cell r="F4">
            <v>3500753.208354749</v>
          </cell>
          <cell r="G4">
            <v>3460386.2440547487</v>
          </cell>
          <cell r="H4">
            <v>3457876.798054749</v>
          </cell>
          <cell r="I4">
            <v>3457876.798054749</v>
          </cell>
          <cell r="J4">
            <v>3528534.0654547485</v>
          </cell>
          <cell r="K4">
            <v>3462348.2174873753</v>
          </cell>
          <cell r="L4">
            <v>3459490.624487376</v>
          </cell>
          <cell r="M4">
            <v>3544007.561748072</v>
          </cell>
          <cell r="N4">
            <v>3545731.1033160724</v>
          </cell>
          <cell r="O4">
            <v>3545731.1033160724</v>
          </cell>
          <cell r="P4">
            <v>3645731.1033160724</v>
          </cell>
        </row>
      </sheetData>
      <sheetData sheetId="3">
        <row r="2">
          <cell r="I2">
            <v>244542.44</v>
          </cell>
        </row>
        <row r="3">
          <cell r="I3">
            <v>334094.20499999996</v>
          </cell>
        </row>
        <row r="4">
          <cell r="I4">
            <v>49584.389</v>
          </cell>
        </row>
        <row r="5">
          <cell r="I5">
            <v>67934.2145</v>
          </cell>
        </row>
        <row r="6">
          <cell r="I6">
            <v>40951.258499999996</v>
          </cell>
        </row>
        <row r="7">
          <cell r="I7">
            <v>18099.953500000003</v>
          </cell>
        </row>
        <row r="8">
          <cell r="I8">
            <v>223271.86750000002</v>
          </cell>
        </row>
        <row r="9">
          <cell r="I9">
            <v>40661.838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175000.21499999997</v>
          </cell>
        </row>
      </sheetData>
      <sheetData sheetId="4">
        <row r="6">
          <cell r="B6">
            <v>3542638.7860000003</v>
          </cell>
          <cell r="C6">
            <v>276419.4413333334</v>
          </cell>
          <cell r="D6">
            <v>270230.9713333333</v>
          </cell>
          <cell r="E6">
            <v>269030.9713333333</v>
          </cell>
          <cell r="F6">
            <v>269190.9713333333</v>
          </cell>
          <cell r="G6">
            <v>268838.5613333333</v>
          </cell>
          <cell r="H6">
            <v>268838.5613333333</v>
          </cell>
          <cell r="I6">
            <v>268998.5613333333</v>
          </cell>
          <cell r="J6">
            <v>268838.5613333333</v>
          </cell>
          <cell r="K6">
            <v>385505.228</v>
          </cell>
          <cell r="L6">
            <v>387665.228</v>
          </cell>
          <cell r="M6">
            <v>368768.94800000003</v>
          </cell>
          <cell r="N6">
            <v>240312.78133333335</v>
          </cell>
        </row>
      </sheetData>
      <sheetData sheetId="5">
        <row r="5">
          <cell r="C5">
            <v>443520.81776560197</v>
          </cell>
          <cell r="D5">
            <v>443520.81776560197</v>
          </cell>
          <cell r="E5">
            <v>443520.81776560197</v>
          </cell>
          <cell r="F5">
            <v>443520.81776560197</v>
          </cell>
          <cell r="G5">
            <v>443520.81776560197</v>
          </cell>
          <cell r="H5">
            <v>444199.25496560195</v>
          </cell>
          <cell r="I5">
            <v>444516.18124076445</v>
          </cell>
          <cell r="J5">
            <v>444516.18124076445</v>
          </cell>
          <cell r="K5">
            <v>457120.81292285863</v>
          </cell>
          <cell r="L5">
            <v>457419.27600285853</v>
          </cell>
          <cell r="M5">
            <v>457419.27600285853</v>
          </cell>
          <cell r="N5">
            <v>457419.27600285853</v>
          </cell>
        </row>
      </sheetData>
      <sheetData sheetId="6">
        <row r="6">
          <cell r="B6">
            <v>1142799.0897999997</v>
          </cell>
          <cell r="C6">
            <v>165200.99748333334</v>
          </cell>
          <cell r="D6">
            <v>158840.99748333334</v>
          </cell>
          <cell r="E6">
            <v>158200.99748333334</v>
          </cell>
          <cell r="F6">
            <v>74307.66415</v>
          </cell>
          <cell r="G6">
            <v>74495.25415</v>
          </cell>
          <cell r="H6">
            <v>73935.25415</v>
          </cell>
          <cell r="I6">
            <v>74495.25415</v>
          </cell>
          <cell r="J6">
            <v>75935.25415</v>
          </cell>
          <cell r="K6">
            <v>74495.25415</v>
          </cell>
          <cell r="L6">
            <v>75935.25415</v>
          </cell>
          <cell r="M6">
            <v>74127.91415</v>
          </cell>
          <cell r="N6">
            <v>62828.99415</v>
          </cell>
        </row>
      </sheetData>
      <sheetData sheetId="7">
        <row r="5">
          <cell r="C5">
            <v>167839.2032819301</v>
          </cell>
          <cell r="D5">
            <v>167839.2032819301</v>
          </cell>
          <cell r="E5">
            <v>167839.2032819301</v>
          </cell>
          <cell r="F5">
            <v>167839.2032819301</v>
          </cell>
          <cell r="G5">
            <v>167839.2032819301</v>
          </cell>
          <cell r="H5">
            <v>167839.2032819301</v>
          </cell>
          <cell r="I5">
            <v>168029.3469897824</v>
          </cell>
          <cell r="J5">
            <v>168029.3469897824</v>
          </cell>
          <cell r="K5">
            <v>172681.43745357776</v>
          </cell>
          <cell r="L5">
            <v>172837.3111575778</v>
          </cell>
          <cell r="M5">
            <v>172837.3111575778</v>
          </cell>
          <cell r="N5">
            <v>172837.3111575778</v>
          </cell>
        </row>
      </sheetData>
      <sheetData sheetId="8">
        <row r="6">
          <cell r="B6">
            <v>1321059.9474333334</v>
          </cell>
          <cell r="C6">
            <v>60297.9168</v>
          </cell>
          <cell r="D6">
            <v>51926.6768</v>
          </cell>
          <cell r="E6">
            <v>52776.6768</v>
          </cell>
          <cell r="F6">
            <v>51626.6768</v>
          </cell>
          <cell r="G6">
            <v>52699.85346666667</v>
          </cell>
          <cell r="H6">
            <v>54533.61096666667</v>
          </cell>
          <cell r="I6">
            <v>52311.41096666667</v>
          </cell>
          <cell r="J6">
            <v>51161.41096666667</v>
          </cell>
          <cell r="K6">
            <v>227711.41096666665</v>
          </cell>
          <cell r="L6">
            <v>226161.41096666665</v>
          </cell>
          <cell r="M6">
            <v>227311.41096666665</v>
          </cell>
          <cell r="N6">
            <v>212541.48096666666</v>
          </cell>
        </row>
      </sheetData>
      <sheetData sheetId="9">
        <row r="5">
          <cell r="C5">
            <v>105744.3635796886</v>
          </cell>
          <cell r="D5">
            <v>105744.3635796886</v>
          </cell>
          <cell r="E5">
            <v>105744.3635796886</v>
          </cell>
          <cell r="F5">
            <v>105744.3635796886</v>
          </cell>
          <cell r="G5">
            <v>105744.3635796886</v>
          </cell>
          <cell r="H5">
            <v>105744.3635796886</v>
          </cell>
          <cell r="I5">
            <v>105744.3635796886</v>
          </cell>
          <cell r="J5">
            <v>105744.3635796886</v>
          </cell>
          <cell r="K5">
            <v>108925.25950138328</v>
          </cell>
          <cell r="L5">
            <v>108972.97270938328</v>
          </cell>
          <cell r="M5">
            <v>108972.97270938328</v>
          </cell>
          <cell r="N5">
            <v>108972.97270938328</v>
          </cell>
        </row>
      </sheetData>
      <sheetData sheetId="10">
        <row r="6">
          <cell r="B6">
            <v>956918.6046000001</v>
          </cell>
          <cell r="C6">
            <v>68353.40038333334</v>
          </cell>
          <cell r="D6">
            <v>61455.50038333333</v>
          </cell>
          <cell r="E6">
            <v>61155.50038333333</v>
          </cell>
          <cell r="F6">
            <v>61155.50038333333</v>
          </cell>
          <cell r="G6">
            <v>61039.36038333333</v>
          </cell>
          <cell r="H6">
            <v>61039.36038333333</v>
          </cell>
          <cell r="I6">
            <v>61039.36038333333</v>
          </cell>
          <cell r="J6">
            <v>61039.36038333333</v>
          </cell>
          <cell r="K6">
            <v>137706.02705</v>
          </cell>
          <cell r="L6">
            <v>137706.02705</v>
          </cell>
          <cell r="M6">
            <v>137706.02705</v>
          </cell>
          <cell r="N6">
            <v>47523.180383333325</v>
          </cell>
        </row>
      </sheetData>
      <sheetData sheetId="11">
        <row r="5">
          <cell r="C5">
            <v>82319.94246052271</v>
          </cell>
          <cell r="D5">
            <v>82319.94246052271</v>
          </cell>
          <cell r="E5">
            <v>82319.94246052271</v>
          </cell>
          <cell r="F5">
            <v>82319.94246052271</v>
          </cell>
          <cell r="G5">
            <v>82319.94246052271</v>
          </cell>
          <cell r="H5">
            <v>82319.94246052271</v>
          </cell>
          <cell r="I5">
            <v>82319.94246052271</v>
          </cell>
          <cell r="J5">
            <v>82319.94246052271</v>
          </cell>
          <cell r="K5">
            <v>84695.76237094362</v>
          </cell>
          <cell r="L5">
            <v>84705.77753094363</v>
          </cell>
          <cell r="M5">
            <v>84705.77753094363</v>
          </cell>
          <cell r="N5">
            <v>84705.77753094363</v>
          </cell>
        </row>
      </sheetData>
      <sheetData sheetId="12">
        <row r="6">
          <cell r="B6">
            <v>1508255.9672000003</v>
          </cell>
          <cell r="C6">
            <v>238786.3731</v>
          </cell>
          <cell r="D6">
            <v>239217.96309999996</v>
          </cell>
          <cell r="E6">
            <v>239217.96309999996</v>
          </cell>
          <cell r="F6">
            <v>239217.96309999996</v>
          </cell>
          <cell r="G6">
            <v>68976.96310000001</v>
          </cell>
          <cell r="H6">
            <v>68976.96310000001</v>
          </cell>
          <cell r="I6">
            <v>68976.96310000001</v>
          </cell>
          <cell r="J6">
            <v>68976.96310000001</v>
          </cell>
          <cell r="K6">
            <v>68976.96310000001</v>
          </cell>
          <cell r="L6">
            <v>68976.96310000001</v>
          </cell>
          <cell r="M6">
            <v>68976.96310000001</v>
          </cell>
          <cell r="N6">
            <v>68976.96310000001</v>
          </cell>
        </row>
      </sheetData>
      <sheetData sheetId="13">
        <row r="5">
          <cell r="C5">
            <v>95589.5795664762</v>
          </cell>
          <cell r="D5">
            <v>95589.5795664762</v>
          </cell>
          <cell r="E5">
            <v>95589.5795664762</v>
          </cell>
          <cell r="F5">
            <v>95589.5795664762</v>
          </cell>
          <cell r="G5">
            <v>95589.5795664762</v>
          </cell>
          <cell r="H5">
            <v>95589.5795664762</v>
          </cell>
          <cell r="I5">
            <v>95589.5795664762</v>
          </cell>
          <cell r="J5">
            <v>95589.5795664762</v>
          </cell>
          <cell r="K5">
            <v>98268.21087193525</v>
          </cell>
          <cell r="L5">
            <v>98384.70507993526</v>
          </cell>
          <cell r="M5">
            <v>98384.70507993526</v>
          </cell>
          <cell r="N5">
            <v>98384.70507993526</v>
          </cell>
        </row>
      </sheetData>
      <sheetData sheetId="14">
        <row r="6">
          <cell r="B6">
            <v>584108.2662000001</v>
          </cell>
          <cell r="C6">
            <v>49811.929599999996</v>
          </cell>
          <cell r="D6">
            <v>41750.8196</v>
          </cell>
          <cell r="E6">
            <v>41750.8196</v>
          </cell>
          <cell r="F6">
            <v>44250.8196</v>
          </cell>
          <cell r="G6">
            <v>41651.6796</v>
          </cell>
          <cell r="H6">
            <v>41651.6796</v>
          </cell>
          <cell r="I6">
            <v>43851.6796</v>
          </cell>
          <cell r="J6">
            <v>42631.6796</v>
          </cell>
          <cell r="K6">
            <v>41651.6796</v>
          </cell>
          <cell r="L6">
            <v>41651.6796</v>
          </cell>
          <cell r="M6">
            <v>111726.9001</v>
          </cell>
          <cell r="N6">
            <v>41726.9001</v>
          </cell>
        </row>
      </sheetData>
      <sheetData sheetId="15">
        <row r="5">
          <cell r="C5">
            <v>106268.71917519812</v>
          </cell>
          <cell r="D5">
            <v>106268.71917519812</v>
          </cell>
          <cell r="E5">
            <v>106268.71917519812</v>
          </cell>
          <cell r="F5">
            <v>106268.71917519812</v>
          </cell>
          <cell r="G5">
            <v>106268.71917519812</v>
          </cell>
          <cell r="H5">
            <v>106268.71917519812</v>
          </cell>
          <cell r="I5">
            <v>106363.1855286685</v>
          </cell>
          <cell r="J5">
            <v>106363.1855286685</v>
          </cell>
          <cell r="K5">
            <v>108809.77330728213</v>
          </cell>
          <cell r="L5">
            <v>108841.40004328212</v>
          </cell>
          <cell r="M5">
            <v>108841.40004328212</v>
          </cell>
          <cell r="N5">
            <v>108841.40004328212</v>
          </cell>
        </row>
      </sheetData>
      <sheetData sheetId="16">
        <row r="6">
          <cell r="B6">
            <v>1582087.0377999998</v>
          </cell>
          <cell r="C6">
            <v>145228.58106666667</v>
          </cell>
          <cell r="D6">
            <v>139578.58106666667</v>
          </cell>
          <cell r="E6">
            <v>137508.58106666667</v>
          </cell>
          <cell r="F6">
            <v>136578.58106666667</v>
          </cell>
          <cell r="G6">
            <v>133906.03106666665</v>
          </cell>
          <cell r="H6">
            <v>138769.83106666667</v>
          </cell>
          <cell r="I6">
            <v>133639.83106666667</v>
          </cell>
          <cell r="J6">
            <v>133578.38606666666</v>
          </cell>
          <cell r="K6">
            <v>134508.38606666666</v>
          </cell>
          <cell r="L6">
            <v>134202.38606666666</v>
          </cell>
          <cell r="M6">
            <v>133424.78606666665</v>
          </cell>
          <cell r="N6">
            <v>81163.07606666666</v>
          </cell>
        </row>
      </sheetData>
      <sheetData sheetId="17">
        <row r="5">
          <cell r="C5">
            <v>183575.71837820119</v>
          </cell>
          <cell r="D5">
            <v>183575.71837820119</v>
          </cell>
          <cell r="E5">
            <v>183575.71837820119</v>
          </cell>
          <cell r="F5">
            <v>183575.71837820119</v>
          </cell>
          <cell r="G5">
            <v>183575.71837820119</v>
          </cell>
          <cell r="H5">
            <v>183575.71837820119</v>
          </cell>
          <cell r="I5">
            <v>183834.13130109472</v>
          </cell>
          <cell r="J5">
            <v>183834.13130109472</v>
          </cell>
          <cell r="K5">
            <v>188715.08139670797</v>
          </cell>
          <cell r="L5">
            <v>188964.19506870798</v>
          </cell>
          <cell r="M5">
            <v>188964.19506870798</v>
          </cell>
          <cell r="N5">
            <v>188964.19506870798</v>
          </cell>
        </row>
      </sheetData>
      <sheetData sheetId="18">
        <row r="6">
          <cell r="B6">
            <v>214231.26040000003</v>
          </cell>
          <cell r="C6">
            <v>20046.0867</v>
          </cell>
          <cell r="D6">
            <v>13094.1067</v>
          </cell>
          <cell r="E6">
            <v>13094.1067</v>
          </cell>
          <cell r="F6">
            <v>13244.1067</v>
          </cell>
          <cell r="G6">
            <v>13094.1067</v>
          </cell>
          <cell r="H6">
            <v>13094.1067</v>
          </cell>
          <cell r="I6">
            <v>13094.1067</v>
          </cell>
          <cell r="J6">
            <v>13094.1067</v>
          </cell>
          <cell r="K6">
            <v>13094.1067</v>
          </cell>
          <cell r="L6">
            <v>13094.1067</v>
          </cell>
          <cell r="M6">
            <v>38094.1067</v>
          </cell>
          <cell r="N6">
            <v>38094.1067</v>
          </cell>
        </row>
      </sheetData>
      <sheetData sheetId="20">
        <row r="6">
          <cell r="B6">
            <v>7259363.482733335</v>
          </cell>
          <cell r="C6">
            <v>510878.54578333336</v>
          </cell>
          <cell r="D6">
            <v>480350.83745000005</v>
          </cell>
          <cell r="E6">
            <v>472060.83745000005</v>
          </cell>
          <cell r="F6">
            <v>495560.83745000005</v>
          </cell>
          <cell r="G6">
            <v>472715.85307500005</v>
          </cell>
          <cell r="H6">
            <v>1111575.853075</v>
          </cell>
          <cell r="I6">
            <v>1134975.853075</v>
          </cell>
          <cell r="J6">
            <v>511575.85307500005</v>
          </cell>
          <cell r="K6">
            <v>511575.85307500005</v>
          </cell>
          <cell r="L6">
            <v>534975.853075</v>
          </cell>
          <cell r="M6">
            <v>511558.65307500004</v>
          </cell>
          <cell r="N6">
            <v>511558.65307500004</v>
          </cell>
        </row>
      </sheetData>
      <sheetData sheetId="21">
        <row r="5">
          <cell r="C5">
            <v>276612.9728385744</v>
          </cell>
          <cell r="D5">
            <v>280489.38313857437</v>
          </cell>
          <cell r="E5">
            <v>276612.9728385744</v>
          </cell>
          <cell r="F5">
            <v>276612.9728385744</v>
          </cell>
          <cell r="G5">
            <v>276612.9728385744</v>
          </cell>
          <cell r="H5">
            <v>276612.9728385744</v>
          </cell>
          <cell r="I5">
            <v>276612.9728385744</v>
          </cell>
          <cell r="J5">
            <v>276612.9728385744</v>
          </cell>
          <cell r="K5">
            <v>283972.7795857484</v>
          </cell>
          <cell r="L5">
            <v>284303.1069537484</v>
          </cell>
          <cell r="M5">
            <v>284303.1069537484</v>
          </cell>
          <cell r="N5">
            <v>284303.1069537484</v>
          </cell>
        </row>
      </sheetData>
      <sheetData sheetId="27">
        <row r="6">
          <cell r="B6">
            <v>10205000</v>
          </cell>
          <cell r="C6">
            <v>0</v>
          </cell>
          <cell r="D6">
            <v>3000000</v>
          </cell>
          <cell r="E6">
            <v>2600000</v>
          </cell>
          <cell r="F6">
            <v>4015000</v>
          </cell>
          <cell r="G6">
            <v>488000</v>
          </cell>
          <cell r="H6">
            <v>102000</v>
          </cell>
        </row>
      </sheetData>
      <sheetData sheetId="28">
        <row r="6">
          <cell r="B6">
            <v>87500</v>
          </cell>
          <cell r="C6">
            <v>87500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</sheetData>
      <sheetData sheetId="29">
        <row r="7">
          <cell r="B7">
            <v>230000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230000</v>
          </cell>
          <cell r="H7">
            <v>0</v>
          </cell>
        </row>
      </sheetData>
      <sheetData sheetId="30">
        <row r="6">
          <cell r="B6">
            <v>5626501.2871</v>
          </cell>
          <cell r="C6">
            <v>967116.9537166668</v>
          </cell>
          <cell r="D6">
            <v>494590.5557166666</v>
          </cell>
          <cell r="E6">
            <v>453581.5557166667</v>
          </cell>
          <cell r="F6">
            <v>393417.13571666664</v>
          </cell>
          <cell r="G6">
            <v>395350.0402166667</v>
          </cell>
          <cell r="H6">
            <v>382633.29621666664</v>
          </cell>
          <cell r="I6">
            <v>393637.79705</v>
          </cell>
          <cell r="J6">
            <v>383025.39255000005</v>
          </cell>
          <cell r="K6">
            <v>476895.39255000005</v>
          </cell>
          <cell r="L6">
            <v>474295.39255000005</v>
          </cell>
          <cell r="M6">
            <v>472995.39255000005</v>
          </cell>
          <cell r="N6">
            <v>338962.38255000004</v>
          </cell>
        </row>
      </sheetData>
      <sheetData sheetId="31">
        <row r="5">
          <cell r="C5">
            <v>1531268.0433557783</v>
          </cell>
          <cell r="D5">
            <v>1548979.0510557785</v>
          </cell>
          <cell r="E5">
            <v>1532488.4970557785</v>
          </cell>
          <cell r="F5">
            <v>1529979.0510557785</v>
          </cell>
          <cell r="G5">
            <v>1529979.0510557785</v>
          </cell>
          <cell r="H5">
            <v>1549957.8812557785</v>
          </cell>
          <cell r="I5">
            <v>1532912.0840290263</v>
          </cell>
          <cell r="J5">
            <v>1530054.4910290262</v>
          </cell>
          <cell r="K5">
            <v>1563153.4227291835</v>
          </cell>
          <cell r="L5">
            <v>1563535.5380491833</v>
          </cell>
          <cell r="M5">
            <v>1563535.5380491833</v>
          </cell>
          <cell r="N5">
            <v>1563535.5380491833</v>
          </cell>
        </row>
      </sheetData>
      <sheetData sheetId="32">
        <row r="6">
          <cell r="B6">
            <v>122635.58600000002</v>
          </cell>
          <cell r="C6">
            <v>10905.9655</v>
          </cell>
          <cell r="D6">
            <v>10185.9655</v>
          </cell>
          <cell r="E6">
            <v>8385.9655</v>
          </cell>
          <cell r="F6">
            <v>9105.9655</v>
          </cell>
          <cell r="G6">
            <v>15247.9655</v>
          </cell>
          <cell r="H6">
            <v>8385.9655</v>
          </cell>
          <cell r="I6">
            <v>10545.9655</v>
          </cell>
          <cell r="J6">
            <v>10905.9655</v>
          </cell>
          <cell r="K6">
            <v>8385.9655</v>
          </cell>
          <cell r="L6">
            <v>8745.9655</v>
          </cell>
          <cell r="M6">
            <v>14167.9655</v>
          </cell>
          <cell r="N6">
            <v>7665.9655</v>
          </cell>
        </row>
        <row r="7">
          <cell r="B7">
            <v>18184459.848080263</v>
          </cell>
          <cell r="C7">
            <v>1497790.4354545455</v>
          </cell>
          <cell r="D7">
            <v>1531624.179525692</v>
          </cell>
          <cell r="E7">
            <v>1482852.754853801</v>
          </cell>
          <cell r="F7">
            <v>1565137.8009090913</v>
          </cell>
          <cell r="G7">
            <v>1358040.0358479533</v>
          </cell>
          <cell r="H7">
            <v>1302733.0323333333</v>
          </cell>
          <cell r="I7">
            <v>1611807.597727273</v>
          </cell>
          <cell r="J7">
            <v>1442547.8933333333</v>
          </cell>
          <cell r="K7">
            <v>1699495.338095238</v>
          </cell>
          <cell r="L7">
            <v>1549497.1333333333</v>
          </cell>
          <cell r="M7">
            <v>1544636.1466666665</v>
          </cell>
          <cell r="N7">
            <v>1598297.5</v>
          </cell>
        </row>
        <row r="8">
          <cell r="B8">
            <v>569441.662</v>
          </cell>
          <cell r="C8">
            <v>57340.19</v>
          </cell>
          <cell r="D8">
            <v>45286.072</v>
          </cell>
          <cell r="E8">
            <v>45286.072</v>
          </cell>
          <cell r="F8">
            <v>46836.592000000004</v>
          </cell>
          <cell r="G8">
            <v>46836.592000000004</v>
          </cell>
          <cell r="H8">
            <v>46836.592000000004</v>
          </cell>
          <cell r="I8">
            <v>46836.592000000004</v>
          </cell>
          <cell r="J8">
            <v>46836.592000000004</v>
          </cell>
          <cell r="K8">
            <v>46836.592000000004</v>
          </cell>
          <cell r="L8">
            <v>46836.592000000004</v>
          </cell>
          <cell r="M8">
            <v>46836.592000000004</v>
          </cell>
          <cell r="N8">
            <v>46836.592000000004</v>
          </cell>
        </row>
        <row r="9">
          <cell r="B9">
            <v>324000</v>
          </cell>
          <cell r="C9">
            <v>51000</v>
          </cell>
          <cell r="D9">
            <v>51000</v>
          </cell>
          <cell r="E9">
            <v>51000</v>
          </cell>
          <cell r="F9">
            <v>51000</v>
          </cell>
          <cell r="G9">
            <v>51000</v>
          </cell>
          <cell r="H9">
            <v>51000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</row>
      </sheetData>
      <sheetData sheetId="33">
        <row r="5">
          <cell r="C5">
            <v>101006.27894003107</v>
          </cell>
          <cell r="D5">
            <v>101006.27894003107</v>
          </cell>
          <cell r="E5">
            <v>101006.27894003107</v>
          </cell>
          <cell r="F5">
            <v>101006.27894003107</v>
          </cell>
          <cell r="G5">
            <v>101006.27894003107</v>
          </cell>
          <cell r="H5">
            <v>101006.27894003107</v>
          </cell>
          <cell r="I5">
            <v>101006.27894003107</v>
          </cell>
          <cell r="J5">
            <v>101006.27894003107</v>
          </cell>
          <cell r="K5">
            <v>103732.7144399643</v>
          </cell>
          <cell r="L5">
            <v>103739.21156796429</v>
          </cell>
          <cell r="M5">
            <v>103739.21156796429</v>
          </cell>
          <cell r="N5">
            <v>103739.21156796429</v>
          </cell>
        </row>
      </sheetData>
      <sheetData sheetId="34">
        <row r="6">
          <cell r="C6">
            <v>148600.0028</v>
          </cell>
          <cell r="D6">
            <v>68100</v>
          </cell>
          <cell r="E6">
            <v>122100</v>
          </cell>
          <cell r="F6">
            <v>42100</v>
          </cell>
          <cell r="G6">
            <v>122100</v>
          </cell>
          <cell r="H6">
            <v>42100</v>
          </cell>
          <cell r="I6">
            <v>122600</v>
          </cell>
          <cell r="J6">
            <v>42100</v>
          </cell>
          <cell r="K6">
            <v>122100</v>
          </cell>
          <cell r="L6">
            <v>42100</v>
          </cell>
          <cell r="M6">
            <v>122100</v>
          </cell>
          <cell r="N6">
            <v>42100</v>
          </cell>
        </row>
        <row r="7">
          <cell r="B7">
            <v>61064628</v>
          </cell>
          <cell r="C7">
            <v>5926297</v>
          </cell>
          <cell r="D7">
            <v>5926298</v>
          </cell>
          <cell r="E7">
            <v>5926299</v>
          </cell>
          <cell r="F7">
            <v>5926300</v>
          </cell>
          <cell r="G7">
            <v>5926301</v>
          </cell>
          <cell r="H7">
            <v>5926302</v>
          </cell>
          <cell r="I7">
            <v>4251136</v>
          </cell>
          <cell r="J7">
            <v>4251137</v>
          </cell>
          <cell r="K7">
            <v>4251138</v>
          </cell>
          <cell r="L7">
            <v>4251139</v>
          </cell>
          <cell r="M7">
            <v>4251140</v>
          </cell>
          <cell r="N7">
            <v>4251141</v>
          </cell>
        </row>
      </sheetData>
      <sheetData sheetId="36">
        <row r="5">
          <cell r="C5">
            <v>365420.15101274586</v>
          </cell>
          <cell r="D5">
            <v>365420.15101274586</v>
          </cell>
          <cell r="E5">
            <v>365420.15101274586</v>
          </cell>
          <cell r="F5">
            <v>365420.15101274586</v>
          </cell>
          <cell r="G5">
            <v>365420.15101274586</v>
          </cell>
          <cell r="H5">
            <v>365420.15101274586</v>
          </cell>
          <cell r="I5">
            <v>365420.15101274586</v>
          </cell>
          <cell r="J5">
            <v>365420.15101274586</v>
          </cell>
          <cell r="K5">
            <v>373932.3071684875</v>
          </cell>
          <cell r="L5">
            <v>374027.6091524875</v>
          </cell>
          <cell r="M5">
            <v>374027.6091524875</v>
          </cell>
          <cell r="N5">
            <v>374027.6091524875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zoomScale="75" zoomScaleNormal="75" zoomScaleSheetLayoutView="75" workbookViewId="0" topLeftCell="A1">
      <selection activeCell="J45" sqref="J45:J53"/>
    </sheetView>
  </sheetViews>
  <sheetFormatPr defaultColWidth="9.140625" defaultRowHeight="30" customHeight="1"/>
  <cols>
    <col min="1" max="1" width="8.28125" style="75" customWidth="1"/>
    <col min="2" max="2" width="10.140625" style="75" customWidth="1"/>
    <col min="3" max="3" width="34.57421875" style="1" customWidth="1"/>
    <col min="4" max="4" width="36.28125" style="1" customWidth="1"/>
    <col min="5" max="5" width="11.7109375" style="75" customWidth="1"/>
    <col min="6" max="6" width="11.28125" style="75" customWidth="1"/>
    <col min="7" max="7" width="25.8515625" style="76" bestFit="1" customWidth="1"/>
    <col min="8" max="8" width="24.8515625" style="76" bestFit="1" customWidth="1"/>
    <col min="9" max="9" width="22.8515625" style="76" bestFit="1" customWidth="1"/>
    <col min="10" max="10" width="25.421875" style="76" bestFit="1" customWidth="1"/>
    <col min="11" max="11" width="9.140625" style="75" customWidth="1"/>
    <col min="12" max="12" width="31.140625" style="75" customWidth="1"/>
    <col min="13" max="13" width="14.57421875" style="75" bestFit="1" customWidth="1"/>
    <col min="14" max="16384" width="9.140625" style="75" customWidth="1"/>
  </cols>
  <sheetData>
    <row r="1" spans="3:10" ht="22.5" customHeight="1">
      <c r="C1" s="237" t="s">
        <v>207</v>
      </c>
      <c r="D1" s="237"/>
      <c r="E1" s="237"/>
      <c r="F1" s="237"/>
      <c r="G1" s="237"/>
      <c r="H1" s="237"/>
      <c r="I1" s="237"/>
      <c r="J1" s="237"/>
    </row>
    <row r="2" spans="3:10" ht="31.5" customHeight="1" thickBot="1">
      <c r="C2" s="237"/>
      <c r="D2" s="237"/>
      <c r="E2" s="237"/>
      <c r="F2" s="237"/>
      <c r="G2" s="237"/>
      <c r="H2" s="237"/>
      <c r="I2" s="237"/>
      <c r="J2" s="237"/>
    </row>
    <row r="3" spans="1:10" ht="21.75" customHeight="1" thickBot="1" thickTop="1">
      <c r="A3" s="238" t="s">
        <v>0</v>
      </c>
      <c r="B3" s="238"/>
      <c r="C3" s="238"/>
      <c r="D3" s="238"/>
      <c r="E3" s="238" t="s">
        <v>1</v>
      </c>
      <c r="F3" s="225" t="s">
        <v>72</v>
      </c>
      <c r="G3" s="225"/>
      <c r="H3" s="225"/>
      <c r="I3" s="225"/>
      <c r="J3" s="225"/>
    </row>
    <row r="4" spans="1:10" ht="21.75" customHeight="1" thickBot="1" thickTop="1">
      <c r="A4" s="238"/>
      <c r="B4" s="238"/>
      <c r="C4" s="238"/>
      <c r="D4" s="238"/>
      <c r="E4" s="238"/>
      <c r="F4" s="238" t="s">
        <v>33</v>
      </c>
      <c r="G4" s="227" t="s">
        <v>34</v>
      </c>
      <c r="H4" s="227"/>
      <c r="I4" s="227"/>
      <c r="J4" s="227"/>
    </row>
    <row r="5" spans="1:10" ht="34.5" customHeight="1" thickBot="1" thickTop="1">
      <c r="A5" s="238"/>
      <c r="B5" s="238"/>
      <c r="C5" s="238"/>
      <c r="D5" s="238"/>
      <c r="E5" s="238"/>
      <c r="F5" s="238"/>
      <c r="G5" s="174" t="s">
        <v>52</v>
      </c>
      <c r="H5" s="174" t="s">
        <v>51</v>
      </c>
      <c r="I5" s="174" t="s">
        <v>54</v>
      </c>
      <c r="J5" s="176" t="s">
        <v>56</v>
      </c>
    </row>
    <row r="6" spans="1:12" s="77" customFormat="1" ht="36.75" customHeight="1" thickBot="1" thickTop="1">
      <c r="A6" s="230" t="s">
        <v>14</v>
      </c>
      <c r="B6" s="230" t="s">
        <v>87</v>
      </c>
      <c r="C6" s="236" t="s">
        <v>79</v>
      </c>
      <c r="D6" s="236"/>
      <c r="E6" s="138" t="s">
        <v>21</v>
      </c>
      <c r="F6" s="138" t="s">
        <v>203</v>
      </c>
      <c r="G6" s="182">
        <f>G7</f>
        <v>3542638.786</v>
      </c>
      <c r="H6" s="182">
        <f>H7</f>
        <v>5380214.347206575</v>
      </c>
      <c r="I6" s="182">
        <f>I7</f>
        <v>0</v>
      </c>
      <c r="J6" s="183">
        <f>J7</f>
        <v>8922853.133206574</v>
      </c>
      <c r="L6" s="204"/>
    </row>
    <row r="7" spans="1:10" s="77" customFormat="1" ht="71.25" customHeight="1" thickBot="1" thickTop="1">
      <c r="A7" s="230"/>
      <c r="B7" s="230"/>
      <c r="C7" s="139" t="s">
        <v>104</v>
      </c>
      <c r="D7" s="178" t="s">
        <v>83</v>
      </c>
      <c r="E7" s="140" t="s">
        <v>21</v>
      </c>
      <c r="F7" s="140" t="s">
        <v>126</v>
      </c>
      <c r="G7" s="235">
        <f>Plan2!AN8</f>
        <v>3542638.786</v>
      </c>
      <c r="H7" s="235">
        <f>Plan2!AO8</f>
        <v>5380214.347206575</v>
      </c>
      <c r="I7" s="235">
        <f>Plan2!AP8</f>
        <v>0</v>
      </c>
      <c r="J7" s="235">
        <f>Plan2!AQ8</f>
        <v>8922853.133206574</v>
      </c>
    </row>
    <row r="8" spans="1:10" s="77" customFormat="1" ht="71.25" customHeight="1" thickBot="1" thickTop="1">
      <c r="A8" s="230"/>
      <c r="B8" s="230"/>
      <c r="C8" s="139" t="s">
        <v>103</v>
      </c>
      <c r="D8" s="178" t="s">
        <v>84</v>
      </c>
      <c r="E8" s="140" t="s">
        <v>21</v>
      </c>
      <c r="F8" s="140" t="s">
        <v>43</v>
      </c>
      <c r="G8" s="235"/>
      <c r="H8" s="235"/>
      <c r="I8" s="235"/>
      <c r="J8" s="235"/>
    </row>
    <row r="9" spans="1:10" s="77" customFormat="1" ht="71.25" customHeight="1" thickBot="1" thickTop="1">
      <c r="A9" s="230"/>
      <c r="B9" s="230"/>
      <c r="C9" s="139" t="s">
        <v>105</v>
      </c>
      <c r="D9" s="178" t="s">
        <v>41</v>
      </c>
      <c r="E9" s="140" t="s">
        <v>21</v>
      </c>
      <c r="F9" s="140" t="s">
        <v>44</v>
      </c>
      <c r="G9" s="235"/>
      <c r="H9" s="235"/>
      <c r="I9" s="235"/>
      <c r="J9" s="235"/>
    </row>
    <row r="10" spans="1:10" s="78" customFormat="1" ht="108.75" customHeight="1" thickBot="1" thickTop="1">
      <c r="A10" s="230"/>
      <c r="B10" s="230"/>
      <c r="C10" s="139" t="s">
        <v>102</v>
      </c>
      <c r="D10" s="178" t="s">
        <v>42</v>
      </c>
      <c r="E10" s="140" t="s">
        <v>21</v>
      </c>
      <c r="F10" s="140" t="s">
        <v>127</v>
      </c>
      <c r="G10" s="235"/>
      <c r="H10" s="235"/>
      <c r="I10" s="235"/>
      <c r="J10" s="235"/>
    </row>
    <row r="11" spans="1:10" s="78" customFormat="1" ht="41.25" customHeight="1" thickBot="1" thickTop="1">
      <c r="A11" s="230"/>
      <c r="B11" s="230" t="s">
        <v>88</v>
      </c>
      <c r="C11" s="236" t="s">
        <v>80</v>
      </c>
      <c r="D11" s="236"/>
      <c r="E11" s="138" t="s">
        <v>21</v>
      </c>
      <c r="F11" s="138" t="s">
        <v>204</v>
      </c>
      <c r="G11" s="184">
        <f>G12</f>
        <v>1142799.0898</v>
      </c>
      <c r="H11" s="184">
        <f>H12</f>
        <v>2034287.284597457</v>
      </c>
      <c r="I11" s="184">
        <f>I12</f>
        <v>0</v>
      </c>
      <c r="J11" s="184">
        <f>J12</f>
        <v>3177086.3743974566</v>
      </c>
    </row>
    <row r="12" spans="1:10" s="79" customFormat="1" ht="90" customHeight="1" thickBot="1" thickTop="1">
      <c r="A12" s="230"/>
      <c r="B12" s="230"/>
      <c r="C12" s="139" t="s">
        <v>103</v>
      </c>
      <c r="D12" s="178" t="s">
        <v>84</v>
      </c>
      <c r="E12" s="140" t="s">
        <v>21</v>
      </c>
      <c r="F12" s="140" t="s">
        <v>43</v>
      </c>
      <c r="G12" s="228">
        <f>Plan2!AN9</f>
        <v>1142799.0898</v>
      </c>
      <c r="H12" s="228">
        <f>Plan2!AO9</f>
        <v>2034287.284597457</v>
      </c>
      <c r="I12" s="228">
        <f>Plan2!AP9</f>
        <v>0</v>
      </c>
      <c r="J12" s="228">
        <f>Plan2!AQ9</f>
        <v>3177086.3743974566</v>
      </c>
    </row>
    <row r="13" spans="1:10" s="78" customFormat="1" ht="126" customHeight="1" thickBot="1" thickTop="1">
      <c r="A13" s="230"/>
      <c r="B13" s="230"/>
      <c r="C13" s="139" t="s">
        <v>102</v>
      </c>
      <c r="D13" s="178" t="s">
        <v>42</v>
      </c>
      <c r="E13" s="140" t="s">
        <v>21</v>
      </c>
      <c r="F13" s="140" t="s">
        <v>133</v>
      </c>
      <c r="G13" s="228"/>
      <c r="H13" s="228"/>
      <c r="I13" s="228"/>
      <c r="J13" s="228"/>
    </row>
    <row r="14" spans="1:10" ht="21.75" customHeight="1" thickBot="1" thickTop="1">
      <c r="A14" s="224" t="s">
        <v>0</v>
      </c>
      <c r="B14" s="224"/>
      <c r="C14" s="224"/>
      <c r="D14" s="224"/>
      <c r="E14" s="225" t="s">
        <v>72</v>
      </c>
      <c r="F14" s="225"/>
      <c r="G14" s="225"/>
      <c r="H14" s="225"/>
      <c r="I14" s="225"/>
      <c r="J14" s="225"/>
    </row>
    <row r="15" spans="1:10" ht="21.75" customHeight="1" thickBot="1" thickTop="1">
      <c r="A15" s="224"/>
      <c r="B15" s="224"/>
      <c r="C15" s="224"/>
      <c r="D15" s="224"/>
      <c r="E15" s="226" t="s">
        <v>1</v>
      </c>
      <c r="F15" s="227" t="s">
        <v>33</v>
      </c>
      <c r="G15" s="227" t="s">
        <v>34</v>
      </c>
      <c r="H15" s="227"/>
      <c r="I15" s="227"/>
      <c r="J15" s="227"/>
    </row>
    <row r="16" spans="1:10" ht="34.5" customHeight="1" thickBot="1" thickTop="1">
      <c r="A16" s="224"/>
      <c r="B16" s="224"/>
      <c r="C16" s="224"/>
      <c r="D16" s="224"/>
      <c r="E16" s="226"/>
      <c r="F16" s="227"/>
      <c r="G16" s="174" t="s">
        <v>52</v>
      </c>
      <c r="H16" s="174" t="s">
        <v>51</v>
      </c>
      <c r="I16" s="174" t="s">
        <v>54</v>
      </c>
      <c r="J16" s="176" t="s">
        <v>56</v>
      </c>
    </row>
    <row r="17" spans="1:13" s="77" customFormat="1" ht="135.75" customHeight="1" thickBot="1" thickTop="1">
      <c r="A17" s="230" t="s">
        <v>14</v>
      </c>
      <c r="B17" s="177" t="s">
        <v>89</v>
      </c>
      <c r="C17" s="139" t="s">
        <v>102</v>
      </c>
      <c r="D17" s="178" t="s">
        <v>42</v>
      </c>
      <c r="E17" s="141" t="s">
        <v>21</v>
      </c>
      <c r="F17" s="141" t="s">
        <v>81</v>
      </c>
      <c r="G17" s="185">
        <f>Plan2!AN10</f>
        <v>871059.9474333334</v>
      </c>
      <c r="H17" s="185">
        <f>Plan2!AO10</f>
        <v>1281799.086267042</v>
      </c>
      <c r="I17" s="185">
        <f>Plan2!AP10</f>
        <v>450000</v>
      </c>
      <c r="J17" s="185">
        <f>Plan2!AQ10</f>
        <v>2602859.0337003754</v>
      </c>
      <c r="M17" s="166"/>
    </row>
    <row r="18" spans="1:10" s="77" customFormat="1" ht="138.75" customHeight="1" thickBot="1" thickTop="1">
      <c r="A18" s="230"/>
      <c r="B18" s="177" t="s">
        <v>90</v>
      </c>
      <c r="C18" s="139" t="s">
        <v>102</v>
      </c>
      <c r="D18" s="178" t="s">
        <v>42</v>
      </c>
      <c r="E18" s="140" t="s">
        <v>21</v>
      </c>
      <c r="F18" s="140" t="s">
        <v>82</v>
      </c>
      <c r="G18" s="185">
        <f>Plan2!AN11</f>
        <v>956918.6045999998</v>
      </c>
      <c r="H18" s="185">
        <f>Plan2!AO11</f>
        <v>997372.6346479564</v>
      </c>
      <c r="I18" s="185">
        <f>Plan2!AP11</f>
        <v>0</v>
      </c>
      <c r="J18" s="185">
        <f>Plan2!AQ11</f>
        <v>1954291.2392479563</v>
      </c>
    </row>
    <row r="19" spans="1:10" s="77" customFormat="1" ht="110.25" customHeight="1" thickBot="1" thickTop="1">
      <c r="A19" s="230" t="s">
        <v>15</v>
      </c>
      <c r="B19" s="177" t="s">
        <v>91</v>
      </c>
      <c r="C19" s="142" t="s">
        <v>13</v>
      </c>
      <c r="D19" s="234" t="s">
        <v>75</v>
      </c>
      <c r="E19" s="140" t="s">
        <v>21</v>
      </c>
      <c r="F19" s="143" t="s">
        <v>45</v>
      </c>
      <c r="G19" s="185">
        <f>Plan2!AN12</f>
        <v>1508255.9671999998</v>
      </c>
      <c r="H19" s="185">
        <f>Plan2!AO12</f>
        <v>1158138.9626435505</v>
      </c>
      <c r="I19" s="185">
        <f>Plan2!AP12</f>
        <v>0</v>
      </c>
      <c r="J19" s="185">
        <f>Plan2!AQ12</f>
        <v>2666394.9298435505</v>
      </c>
    </row>
    <row r="20" spans="1:10" s="77" customFormat="1" ht="62.25" customHeight="1" thickBot="1" thickTop="1">
      <c r="A20" s="230"/>
      <c r="B20" s="230" t="s">
        <v>134</v>
      </c>
      <c r="C20" s="139" t="s">
        <v>99</v>
      </c>
      <c r="D20" s="234"/>
      <c r="E20" s="140" t="s">
        <v>21</v>
      </c>
      <c r="F20" s="143" t="s">
        <v>46</v>
      </c>
      <c r="G20" s="228">
        <f>Plan2!AN13</f>
        <v>584108.2662000002</v>
      </c>
      <c r="H20" s="228">
        <f>Plan2!AO13</f>
        <v>1285672.659545654</v>
      </c>
      <c r="I20" s="228">
        <f>Plan2!AP13</f>
        <v>0</v>
      </c>
      <c r="J20" s="228">
        <f>Plan2!AQ13</f>
        <v>1869780.9257456542</v>
      </c>
    </row>
    <row r="21" spans="1:10" s="77" customFormat="1" ht="63" customHeight="1" thickBot="1" thickTop="1">
      <c r="A21" s="230"/>
      <c r="B21" s="230"/>
      <c r="C21" s="139" t="s">
        <v>100</v>
      </c>
      <c r="D21" s="178" t="s">
        <v>85</v>
      </c>
      <c r="E21" s="140" t="s">
        <v>22</v>
      </c>
      <c r="F21" s="143" t="s">
        <v>78</v>
      </c>
      <c r="G21" s="228"/>
      <c r="H21" s="228"/>
      <c r="I21" s="228"/>
      <c r="J21" s="228"/>
    </row>
    <row r="22" spans="1:10" s="77" customFormat="1" ht="75.75" customHeight="1" thickBot="1" thickTop="1">
      <c r="A22" s="230"/>
      <c r="B22" s="230"/>
      <c r="C22" s="139" t="s">
        <v>101</v>
      </c>
      <c r="D22" s="178" t="s">
        <v>86</v>
      </c>
      <c r="E22" s="140" t="s">
        <v>3</v>
      </c>
      <c r="F22" s="143" t="s">
        <v>206</v>
      </c>
      <c r="G22" s="228"/>
      <c r="H22" s="228"/>
      <c r="I22" s="228"/>
      <c r="J22" s="228"/>
    </row>
    <row r="23" spans="1:10" ht="21.75" customHeight="1" thickBot="1" thickTop="1">
      <c r="A23" s="224" t="s">
        <v>0</v>
      </c>
      <c r="B23" s="224"/>
      <c r="C23" s="224"/>
      <c r="D23" s="224"/>
      <c r="E23" s="225" t="s">
        <v>72</v>
      </c>
      <c r="F23" s="225"/>
      <c r="G23" s="225"/>
      <c r="H23" s="225"/>
      <c r="I23" s="225"/>
      <c r="J23" s="225"/>
    </row>
    <row r="24" spans="1:10" ht="21.75" customHeight="1" thickBot="1" thickTop="1">
      <c r="A24" s="224"/>
      <c r="B24" s="224"/>
      <c r="C24" s="224"/>
      <c r="D24" s="224"/>
      <c r="E24" s="226" t="s">
        <v>1</v>
      </c>
      <c r="F24" s="227" t="s">
        <v>33</v>
      </c>
      <c r="G24" s="227" t="s">
        <v>34</v>
      </c>
      <c r="H24" s="227"/>
      <c r="I24" s="227"/>
      <c r="J24" s="227"/>
    </row>
    <row r="25" spans="1:10" ht="34.5" customHeight="1" thickBot="1" thickTop="1">
      <c r="A25" s="224"/>
      <c r="B25" s="224"/>
      <c r="C25" s="224"/>
      <c r="D25" s="224"/>
      <c r="E25" s="226"/>
      <c r="F25" s="227"/>
      <c r="G25" s="174" t="s">
        <v>52</v>
      </c>
      <c r="H25" s="174" t="s">
        <v>51</v>
      </c>
      <c r="I25" s="174" t="s">
        <v>54</v>
      </c>
      <c r="J25" s="176" t="s">
        <v>56</v>
      </c>
    </row>
    <row r="26" spans="1:10" s="79" customFormat="1" ht="66.75" customHeight="1" thickBot="1" thickTop="1">
      <c r="A26" s="230" t="s">
        <v>137</v>
      </c>
      <c r="B26" s="230" t="s">
        <v>135</v>
      </c>
      <c r="C26" s="144" t="s">
        <v>96</v>
      </c>
      <c r="D26" s="178" t="s">
        <v>92</v>
      </c>
      <c r="E26" s="145" t="s">
        <v>21</v>
      </c>
      <c r="F26" s="143" t="s">
        <v>146</v>
      </c>
      <c r="G26" s="229">
        <f>Plan2!AN14</f>
        <v>7473594.743133333</v>
      </c>
      <c r="H26" s="229">
        <f>Plan2!AO14</f>
        <v>3353662.2934555886</v>
      </c>
      <c r="I26" s="229">
        <f>Plan2!AP14</f>
        <v>0</v>
      </c>
      <c r="J26" s="229">
        <f>Plan2!AQ14</f>
        <v>10827257.036588922</v>
      </c>
    </row>
    <row r="27" spans="1:10" s="79" customFormat="1" ht="94.5" customHeight="1" thickBot="1" thickTop="1">
      <c r="A27" s="230"/>
      <c r="B27" s="230"/>
      <c r="C27" s="139" t="s">
        <v>200</v>
      </c>
      <c r="D27" s="178" t="s">
        <v>130</v>
      </c>
      <c r="E27" s="140" t="s">
        <v>21</v>
      </c>
      <c r="F27" s="143" t="s">
        <v>148</v>
      </c>
      <c r="G27" s="229"/>
      <c r="H27" s="229"/>
      <c r="I27" s="229"/>
      <c r="J27" s="229"/>
    </row>
    <row r="28" spans="1:10" s="79" customFormat="1" ht="91.5" customHeight="1" thickBot="1" thickTop="1">
      <c r="A28" s="230"/>
      <c r="B28" s="230"/>
      <c r="C28" s="139" t="s">
        <v>29</v>
      </c>
      <c r="D28" s="178" t="s">
        <v>93</v>
      </c>
      <c r="E28" s="140" t="s">
        <v>21</v>
      </c>
      <c r="F28" s="143" t="s">
        <v>147</v>
      </c>
      <c r="G28" s="229"/>
      <c r="H28" s="229"/>
      <c r="I28" s="229"/>
      <c r="J28" s="229"/>
    </row>
    <row r="29" spans="1:10" s="79" customFormat="1" ht="36" customHeight="1" thickBot="1" thickTop="1">
      <c r="A29" s="231" t="s">
        <v>112</v>
      </c>
      <c r="B29" s="214" t="s">
        <v>205</v>
      </c>
      <c r="C29" s="139" t="s">
        <v>115</v>
      </c>
      <c r="D29" s="146" t="s">
        <v>113</v>
      </c>
      <c r="E29" s="140" t="s">
        <v>21</v>
      </c>
      <c r="F29" s="140" t="s">
        <v>128</v>
      </c>
      <c r="G29" s="229"/>
      <c r="H29" s="229"/>
      <c r="I29" s="229"/>
      <c r="J29" s="229"/>
    </row>
    <row r="30" spans="1:10" s="78" customFormat="1" ht="45" customHeight="1" thickBot="1" thickTop="1">
      <c r="A30" s="231"/>
      <c r="B30" s="214"/>
      <c r="C30" s="139" t="s">
        <v>98</v>
      </c>
      <c r="D30" s="146" t="s">
        <v>114</v>
      </c>
      <c r="E30" s="140" t="s">
        <v>4</v>
      </c>
      <c r="F30" s="140" t="s">
        <v>129</v>
      </c>
      <c r="G30" s="229"/>
      <c r="H30" s="229"/>
      <c r="I30" s="229"/>
      <c r="J30" s="229"/>
    </row>
    <row r="31" spans="1:10" s="80" customFormat="1" ht="34.5" customHeight="1" thickBot="1" thickTop="1">
      <c r="A31" s="231"/>
      <c r="B31" s="214"/>
      <c r="C31" s="139" t="s">
        <v>97</v>
      </c>
      <c r="D31" s="146" t="s">
        <v>35</v>
      </c>
      <c r="E31" s="140" t="s">
        <v>4</v>
      </c>
      <c r="F31" s="140" t="s">
        <v>76</v>
      </c>
      <c r="G31" s="229"/>
      <c r="H31" s="229"/>
      <c r="I31" s="229"/>
      <c r="J31" s="229"/>
    </row>
    <row r="32" spans="1:10" s="81" customFormat="1" ht="36" customHeight="1" thickBot="1" thickTop="1">
      <c r="A32" s="231"/>
      <c r="B32" s="231" t="s">
        <v>111</v>
      </c>
      <c r="C32" s="147" t="s">
        <v>25</v>
      </c>
      <c r="D32" s="232" t="s">
        <v>37</v>
      </c>
      <c r="E32" s="148" t="s">
        <v>24</v>
      </c>
      <c r="F32" s="173">
        <v>300000</v>
      </c>
      <c r="G32" s="228">
        <f>Plan2!AN15</f>
        <v>317500</v>
      </c>
      <c r="H32" s="228">
        <f>Plan2!AO15</f>
        <v>120000</v>
      </c>
      <c r="I32" s="228">
        <f>Plan2!AP15</f>
        <v>0</v>
      </c>
      <c r="J32" s="228">
        <f>Plan2!AQ15</f>
        <v>437500</v>
      </c>
    </row>
    <row r="33" spans="1:10" s="80" customFormat="1" ht="36" customHeight="1" thickBot="1" thickTop="1">
      <c r="A33" s="231"/>
      <c r="B33" s="231"/>
      <c r="C33" s="147" t="s">
        <v>26</v>
      </c>
      <c r="D33" s="233"/>
      <c r="E33" s="140" t="s">
        <v>24</v>
      </c>
      <c r="F33" s="143">
        <v>50000</v>
      </c>
      <c r="G33" s="228"/>
      <c r="H33" s="228"/>
      <c r="I33" s="228"/>
      <c r="J33" s="228"/>
    </row>
    <row r="34" spans="1:10" s="80" customFormat="1" ht="34.5" customHeight="1" thickBot="1" thickTop="1">
      <c r="A34" s="231"/>
      <c r="B34" s="214" t="s">
        <v>116</v>
      </c>
      <c r="C34" s="149" t="s">
        <v>139</v>
      </c>
      <c r="D34" s="146" t="s">
        <v>136</v>
      </c>
      <c r="E34" s="150" t="s">
        <v>5</v>
      </c>
      <c r="F34" s="173">
        <v>600000</v>
      </c>
      <c r="G34" s="229">
        <f>Plan2!AN17</f>
        <v>10205000</v>
      </c>
      <c r="H34" s="229">
        <f>Plan2!AO17</f>
        <v>50000</v>
      </c>
      <c r="I34" s="229">
        <f>Plan2!AP17</f>
        <v>0</v>
      </c>
      <c r="J34" s="229">
        <f>Plan2!AQ17</f>
        <v>10255000</v>
      </c>
    </row>
    <row r="35" spans="1:10" s="80" customFormat="1" ht="34.5" customHeight="1" thickBot="1" thickTop="1">
      <c r="A35" s="231"/>
      <c r="B35" s="214"/>
      <c r="C35" s="151" t="s">
        <v>27</v>
      </c>
      <c r="D35" s="146" t="s">
        <v>40</v>
      </c>
      <c r="E35" s="152" t="s">
        <v>28</v>
      </c>
      <c r="F35" s="173">
        <v>80000</v>
      </c>
      <c r="G35" s="229"/>
      <c r="H35" s="229"/>
      <c r="I35" s="229"/>
      <c r="J35" s="229"/>
    </row>
    <row r="36" spans="1:10" ht="174" customHeight="1" thickBot="1" thickTop="1">
      <c r="A36" s="180" t="s">
        <v>199</v>
      </c>
      <c r="B36" s="175" t="s">
        <v>94</v>
      </c>
      <c r="C36" s="153" t="s">
        <v>95</v>
      </c>
      <c r="D36" s="146" t="s">
        <v>36</v>
      </c>
      <c r="E36" s="154" t="s">
        <v>117</v>
      </c>
      <c r="F36" s="155" t="s">
        <v>138</v>
      </c>
      <c r="G36" s="181">
        <f>Plan2!AN19</f>
        <v>1582087.0377999998</v>
      </c>
      <c r="H36" s="181">
        <f>Plan2!AO19</f>
        <v>2224730.2394742286</v>
      </c>
      <c r="I36" s="181">
        <f>Plan2!AP19</f>
        <v>0</v>
      </c>
      <c r="J36" s="181">
        <f>Plan2!AQ19</f>
        <v>3806817.2772742286</v>
      </c>
    </row>
    <row r="37" spans="1:10" ht="21.75" customHeight="1" thickBot="1" thickTop="1">
      <c r="A37" s="224" t="s">
        <v>0</v>
      </c>
      <c r="B37" s="224"/>
      <c r="C37" s="224"/>
      <c r="D37" s="224"/>
      <c r="E37" s="225" t="s">
        <v>72</v>
      </c>
      <c r="F37" s="225"/>
      <c r="G37" s="225"/>
      <c r="H37" s="225"/>
      <c r="I37" s="225"/>
      <c r="J37" s="225"/>
    </row>
    <row r="38" spans="1:10" ht="21.75" customHeight="1" thickBot="1" thickTop="1">
      <c r="A38" s="224"/>
      <c r="B38" s="224"/>
      <c r="C38" s="224"/>
      <c r="D38" s="224"/>
      <c r="E38" s="226" t="s">
        <v>1</v>
      </c>
      <c r="F38" s="227" t="s">
        <v>33</v>
      </c>
      <c r="G38" s="227" t="s">
        <v>34</v>
      </c>
      <c r="H38" s="227"/>
      <c r="I38" s="227"/>
      <c r="J38" s="227"/>
    </row>
    <row r="39" spans="1:10" ht="30" customHeight="1" thickBot="1" thickTop="1">
      <c r="A39" s="224"/>
      <c r="B39" s="224"/>
      <c r="C39" s="224"/>
      <c r="D39" s="224"/>
      <c r="E39" s="226"/>
      <c r="F39" s="227"/>
      <c r="G39" s="174" t="s">
        <v>52</v>
      </c>
      <c r="H39" s="174" t="s">
        <v>51</v>
      </c>
      <c r="I39" s="174" t="s">
        <v>54</v>
      </c>
      <c r="J39" s="176" t="s">
        <v>56</v>
      </c>
    </row>
    <row r="40" spans="1:10" s="80" customFormat="1" ht="48" customHeight="1" thickBot="1" thickTop="1">
      <c r="A40" s="219" t="s">
        <v>199</v>
      </c>
      <c r="B40" s="214" t="s">
        <v>106</v>
      </c>
      <c r="C40" s="153" t="s">
        <v>201</v>
      </c>
      <c r="D40" s="156" t="s">
        <v>73</v>
      </c>
      <c r="E40" s="157" t="s">
        <v>6</v>
      </c>
      <c r="F40" s="157" t="s">
        <v>131</v>
      </c>
      <c r="G40" s="186">
        <f>Plan2!AN21</f>
        <v>17346059.845454544</v>
      </c>
      <c r="H40" s="215">
        <f>Plan2!AO20</f>
        <v>1223000.5827840436</v>
      </c>
      <c r="I40" s="215">
        <v>0</v>
      </c>
      <c r="J40" s="215">
        <f>Plan2!AQ20</f>
        <v>20423537.703738585</v>
      </c>
    </row>
    <row r="41" spans="1:10" s="80" customFormat="1" ht="48" customHeight="1" thickBot="1" thickTop="1">
      <c r="A41" s="220"/>
      <c r="B41" s="214"/>
      <c r="C41" s="153" t="s">
        <v>202</v>
      </c>
      <c r="D41" s="156" t="s">
        <v>73</v>
      </c>
      <c r="E41" s="157" t="s">
        <v>6</v>
      </c>
      <c r="F41" s="157" t="s">
        <v>132</v>
      </c>
      <c r="G41" s="186">
        <f>Plan2!AN22</f>
        <v>838400</v>
      </c>
      <c r="H41" s="215"/>
      <c r="I41" s="215"/>
      <c r="J41" s="215"/>
    </row>
    <row r="42" spans="1:10" s="80" customFormat="1" ht="30.75" customHeight="1" thickBot="1" thickTop="1">
      <c r="A42" s="220"/>
      <c r="B42" s="214"/>
      <c r="C42" s="147" t="s">
        <v>55</v>
      </c>
      <c r="D42" s="158" t="s">
        <v>167</v>
      </c>
      <c r="E42" s="213"/>
      <c r="F42" s="213"/>
      <c r="G42" s="186">
        <f>Plan2!AN23</f>
        <v>122635.6355</v>
      </c>
      <c r="H42" s="215"/>
      <c r="I42" s="215"/>
      <c r="J42" s="215"/>
    </row>
    <row r="43" spans="1:10" s="80" customFormat="1" ht="30.75" customHeight="1" thickBot="1" thickTop="1">
      <c r="A43" s="220"/>
      <c r="B43" s="214"/>
      <c r="C43" s="147" t="s">
        <v>55</v>
      </c>
      <c r="D43" s="158" t="s">
        <v>166</v>
      </c>
      <c r="E43" s="213"/>
      <c r="F43" s="213"/>
      <c r="G43" s="186">
        <f>Plan2!AN24</f>
        <v>324000</v>
      </c>
      <c r="H43" s="215"/>
      <c r="I43" s="215"/>
      <c r="J43" s="215"/>
    </row>
    <row r="44" spans="1:10" s="80" customFormat="1" ht="40.5" customHeight="1" thickBot="1" thickTop="1">
      <c r="A44" s="221"/>
      <c r="B44" s="214"/>
      <c r="C44" s="147" t="s">
        <v>74</v>
      </c>
      <c r="D44" s="159" t="s">
        <v>107</v>
      </c>
      <c r="E44" s="213"/>
      <c r="F44" s="213"/>
      <c r="G44" s="186">
        <f>Plan2!AN25</f>
        <v>569441.6399999999</v>
      </c>
      <c r="H44" s="215"/>
      <c r="I44" s="215"/>
      <c r="J44" s="215"/>
    </row>
    <row r="45" spans="1:10" s="80" customFormat="1" ht="34.5" customHeight="1" thickBot="1" thickTop="1">
      <c r="A45" s="214" t="s">
        <v>198</v>
      </c>
      <c r="B45" s="214" t="s">
        <v>118</v>
      </c>
      <c r="C45" s="160" t="s">
        <v>108</v>
      </c>
      <c r="D45" s="161" t="s">
        <v>141</v>
      </c>
      <c r="E45" s="200" t="s">
        <v>2</v>
      </c>
      <c r="F45" s="162" t="s">
        <v>144</v>
      </c>
      <c r="G45" s="187">
        <f>SUM(G46:G49)</f>
        <v>37794814</v>
      </c>
      <c r="H45" s="215">
        <f>Plan2!AO26</f>
        <v>4419376.342727916</v>
      </c>
      <c r="I45" s="215">
        <v>0</v>
      </c>
      <c r="J45" s="216">
        <f>Plan2!AQ26</f>
        <v>69020794.34272791</v>
      </c>
    </row>
    <row r="46" spans="1:10" ht="27.75" customHeight="1" thickBot="1" thickTop="1">
      <c r="A46" s="214"/>
      <c r="B46" s="214"/>
      <c r="C46" s="149" t="s">
        <v>109</v>
      </c>
      <c r="D46" s="149" t="s">
        <v>142</v>
      </c>
      <c r="E46" s="150" t="s">
        <v>2</v>
      </c>
      <c r="F46" s="143">
        <v>1213</v>
      </c>
      <c r="G46" s="186">
        <v>6280914</v>
      </c>
      <c r="H46" s="215"/>
      <c r="I46" s="215"/>
      <c r="J46" s="217"/>
    </row>
    <row r="47" spans="1:10" ht="27.75" customHeight="1" thickBot="1" thickTop="1">
      <c r="A47" s="214"/>
      <c r="B47" s="214"/>
      <c r="C47" s="149" t="s">
        <v>110</v>
      </c>
      <c r="D47" s="149" t="s">
        <v>143</v>
      </c>
      <c r="E47" s="150" t="s">
        <v>2</v>
      </c>
      <c r="F47" s="163">
        <v>12787</v>
      </c>
      <c r="G47" s="186">
        <f>Plan2!AN28</f>
        <v>30688800</v>
      </c>
      <c r="H47" s="215"/>
      <c r="I47" s="215"/>
      <c r="J47" s="217"/>
    </row>
    <row r="48" spans="1:10" ht="27.75" customHeight="1" thickBot="1" thickTop="1">
      <c r="A48" s="214"/>
      <c r="B48" s="214"/>
      <c r="C48" s="147" t="s">
        <v>55</v>
      </c>
      <c r="D48" s="158" t="s">
        <v>166</v>
      </c>
      <c r="E48" s="222"/>
      <c r="F48" s="223"/>
      <c r="G48" s="201">
        <f>Plan2!AN30</f>
        <v>100000</v>
      </c>
      <c r="H48" s="215"/>
      <c r="I48" s="215"/>
      <c r="J48" s="217"/>
    </row>
    <row r="49" spans="1:10" s="80" customFormat="1" ht="27.75" customHeight="1" thickBot="1" thickTop="1">
      <c r="A49" s="214"/>
      <c r="B49" s="214"/>
      <c r="C49" s="147" t="s">
        <v>55</v>
      </c>
      <c r="D49" s="158" t="s">
        <v>167</v>
      </c>
      <c r="E49" s="205"/>
      <c r="F49" s="206"/>
      <c r="G49" s="186">
        <v>725100</v>
      </c>
      <c r="H49" s="215"/>
      <c r="I49" s="215"/>
      <c r="J49" s="217"/>
    </row>
    <row r="50" spans="1:10" s="80" customFormat="1" ht="34.5" customHeight="1" thickBot="1" thickTop="1">
      <c r="A50" s="214"/>
      <c r="B50" s="214"/>
      <c r="C50" s="160" t="s">
        <v>108</v>
      </c>
      <c r="D50" s="161" t="s">
        <v>140</v>
      </c>
      <c r="E50" s="200" t="s">
        <v>2</v>
      </c>
      <c r="F50" s="162" t="s">
        <v>145</v>
      </c>
      <c r="G50" s="187">
        <f>SUM(G51:G53)</f>
        <v>26806604</v>
      </c>
      <c r="H50" s="215"/>
      <c r="I50" s="215">
        <v>0</v>
      </c>
      <c r="J50" s="217"/>
    </row>
    <row r="51" spans="1:10" ht="27.75" customHeight="1" thickBot="1" thickTop="1">
      <c r="A51" s="214"/>
      <c r="B51" s="214"/>
      <c r="C51" s="149" t="s">
        <v>109</v>
      </c>
      <c r="D51" s="149" t="s">
        <v>142</v>
      </c>
      <c r="E51" s="150" t="s">
        <v>2</v>
      </c>
      <c r="F51" s="143">
        <v>768</v>
      </c>
      <c r="G51" s="186">
        <v>3976704</v>
      </c>
      <c r="H51" s="215"/>
      <c r="I51" s="215"/>
      <c r="J51" s="217"/>
    </row>
    <row r="52" spans="1:10" ht="30.75" customHeight="1" thickBot="1" thickTop="1">
      <c r="A52" s="214"/>
      <c r="B52" s="214"/>
      <c r="C52" s="149" t="s">
        <v>110</v>
      </c>
      <c r="D52" s="149" t="s">
        <v>143</v>
      </c>
      <c r="E52" s="150" t="s">
        <v>2</v>
      </c>
      <c r="F52" s="163">
        <v>9232</v>
      </c>
      <c r="G52" s="186">
        <f>Plan2!AN33</f>
        <v>22156800</v>
      </c>
      <c r="H52" s="215"/>
      <c r="I52" s="215"/>
      <c r="J52" s="217"/>
    </row>
    <row r="53" spans="1:10" s="80" customFormat="1" ht="27.75" customHeight="1" thickBot="1" thickTop="1">
      <c r="A53" s="214"/>
      <c r="B53" s="214"/>
      <c r="C53" s="147" t="s">
        <v>55</v>
      </c>
      <c r="D53" s="158" t="s">
        <v>167</v>
      </c>
      <c r="E53" s="205"/>
      <c r="F53" s="206"/>
      <c r="G53" s="186">
        <v>673100</v>
      </c>
      <c r="H53" s="215"/>
      <c r="I53" s="215"/>
      <c r="J53" s="218"/>
    </row>
    <row r="54" spans="1:10" ht="28.5" customHeight="1" thickBot="1" thickTop="1">
      <c r="A54" s="179"/>
      <c r="B54" s="179" t="s">
        <v>68</v>
      </c>
      <c r="C54" s="164" t="s">
        <v>69</v>
      </c>
      <c r="D54" s="164"/>
      <c r="E54" s="179"/>
      <c r="F54" s="165"/>
      <c r="G54" s="188">
        <f>Plan2!AN36</f>
        <v>5007001.2871</v>
      </c>
      <c r="H54" s="188">
        <f>Plan2!AO36</f>
        <v>18539378.18</v>
      </c>
      <c r="I54" s="188">
        <f>Plan2!AP36</f>
        <v>679500</v>
      </c>
      <c r="J54" s="188">
        <f>Plan2!AQ36</f>
        <v>24225879.467100002</v>
      </c>
    </row>
    <row r="55" spans="1:10" ht="25.5" customHeight="1" thickBot="1" thickTop="1">
      <c r="A55" s="207" t="s">
        <v>56</v>
      </c>
      <c r="B55" s="207"/>
      <c r="C55" s="207"/>
      <c r="D55" s="207"/>
      <c r="E55" s="207"/>
      <c r="F55" s="207"/>
      <c r="G55" s="189">
        <f>G54+G53+G52+G51+G49+G47+G46+G44+G43+G42+G41+G40+G36+G34+G32+G26+G20+G19+G18+G17+G12+G7+G48</f>
        <v>116992918.85022122</v>
      </c>
      <c r="H55" s="189">
        <f>H54+H45+H40+H36+H34+H32+H20+H19+H17+H18+H12+H7+H26</f>
        <v>42067632.613350004</v>
      </c>
      <c r="I55" s="189">
        <f>I54+I50+I45+I40+I36+I34+I32+I26+I20+I19+I18+I17+I12+I7</f>
        <v>1129500</v>
      </c>
      <c r="J55" s="189">
        <f>I55+H55+G55</f>
        <v>160190051.46357122</v>
      </c>
    </row>
    <row r="56" spans="1:17" ht="17.25" customHeight="1" thickTop="1">
      <c r="A56" s="208"/>
      <c r="B56" s="208"/>
      <c r="C56" s="208"/>
      <c r="D56" s="197"/>
      <c r="E56" s="192"/>
      <c r="F56" s="192"/>
      <c r="G56" s="198"/>
      <c r="H56" s="198"/>
      <c r="I56" s="198"/>
      <c r="J56" s="193"/>
      <c r="Q56" s="91"/>
    </row>
    <row r="57" spans="1:17" ht="41.25" customHeight="1">
      <c r="A57" s="192"/>
      <c r="B57" s="191"/>
      <c r="C57" s="209"/>
      <c r="D57" s="209"/>
      <c r="E57" s="209"/>
      <c r="F57" s="191"/>
      <c r="G57" s="209"/>
      <c r="H57" s="209"/>
      <c r="I57" s="209"/>
      <c r="J57" s="209"/>
      <c r="K57" s="89"/>
      <c r="L57" s="89"/>
      <c r="M57" s="89"/>
      <c r="N57" s="89"/>
      <c r="O57" s="89"/>
      <c r="P57" s="89"/>
      <c r="Q57" s="91"/>
    </row>
    <row r="58" spans="1:17" ht="31.5" customHeight="1">
      <c r="A58" s="192"/>
      <c r="B58" s="191"/>
      <c r="C58" s="212"/>
      <c r="D58" s="212"/>
      <c r="E58" s="212"/>
      <c r="F58" s="203"/>
      <c r="G58" s="212"/>
      <c r="H58" s="212"/>
      <c r="I58" s="212"/>
      <c r="J58" s="212"/>
      <c r="K58" s="90"/>
      <c r="L58" s="90"/>
      <c r="M58" s="90"/>
      <c r="N58" s="90"/>
      <c r="O58" s="90"/>
      <c r="P58" s="90"/>
      <c r="Q58" s="91"/>
    </row>
    <row r="59" spans="1:17" ht="12.75" customHeight="1">
      <c r="A59" s="192"/>
      <c r="B59" s="191"/>
      <c r="C59" s="202"/>
      <c r="D59" s="202"/>
      <c r="E59" s="202"/>
      <c r="F59" s="190"/>
      <c r="G59" s="202"/>
      <c r="H59" s="202"/>
      <c r="I59" s="202"/>
      <c r="J59" s="202"/>
      <c r="K59" s="90"/>
      <c r="L59" s="90"/>
      <c r="M59" s="90"/>
      <c r="N59" s="90"/>
      <c r="O59" s="90"/>
      <c r="P59" s="90"/>
      <c r="Q59" s="91"/>
    </row>
    <row r="60" spans="1:17" ht="13.5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89"/>
      <c r="L60" s="89"/>
      <c r="M60" s="89"/>
      <c r="N60" s="89"/>
      <c r="O60" s="89"/>
      <c r="Q60" s="91"/>
    </row>
    <row r="61" spans="1:17" ht="19.5" customHeight="1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90"/>
      <c r="L61" s="90"/>
      <c r="M61" s="90"/>
      <c r="N61" s="90"/>
      <c r="O61" s="90"/>
      <c r="Q61" s="91"/>
    </row>
    <row r="62" spans="1:17" ht="11.25" customHeight="1">
      <c r="A62" s="192"/>
      <c r="D62" s="194"/>
      <c r="E62" s="194"/>
      <c r="F62" s="192"/>
      <c r="G62" s="193"/>
      <c r="H62" s="193"/>
      <c r="I62" s="193"/>
      <c r="J62" s="193"/>
      <c r="Q62" s="91"/>
    </row>
    <row r="63" spans="1:17" ht="18.75" customHeight="1">
      <c r="A63" s="192"/>
      <c r="B63" s="192"/>
      <c r="C63" s="199"/>
      <c r="I63" s="195"/>
      <c r="J63" s="195"/>
      <c r="Q63" s="91"/>
    </row>
    <row r="64" spans="1:17" ht="26.25" customHeight="1">
      <c r="A64" s="192"/>
      <c r="B64" s="192"/>
      <c r="C64" s="192"/>
      <c r="D64" s="210"/>
      <c r="E64" s="210"/>
      <c r="F64" s="210"/>
      <c r="G64" s="210"/>
      <c r="H64" s="210"/>
      <c r="I64" s="196"/>
      <c r="J64" s="196"/>
      <c r="Q64" s="91"/>
    </row>
    <row r="65" spans="4:10" ht="17.25" customHeight="1">
      <c r="D65" s="211"/>
      <c r="E65" s="211"/>
      <c r="F65" s="211"/>
      <c r="G65" s="211"/>
      <c r="H65" s="211"/>
      <c r="I65" s="82"/>
      <c r="J65" s="82"/>
    </row>
    <row r="66" spans="7:10" ht="30" customHeight="1">
      <c r="G66" s="82"/>
      <c r="H66" s="82"/>
      <c r="I66" s="82"/>
      <c r="J66" s="82"/>
    </row>
    <row r="67" spans="7:10" ht="30" customHeight="1">
      <c r="G67" s="82"/>
      <c r="H67" s="82"/>
      <c r="I67" s="82"/>
      <c r="J67" s="82"/>
    </row>
    <row r="68" spans="7:10" ht="30" customHeight="1">
      <c r="G68" s="82"/>
      <c r="H68" s="82"/>
      <c r="I68" s="82"/>
      <c r="J68" s="82"/>
    </row>
    <row r="69" spans="7:10" ht="30" customHeight="1">
      <c r="G69" s="82"/>
      <c r="H69" s="82"/>
      <c r="I69" s="82"/>
      <c r="J69" s="82"/>
    </row>
    <row r="70" spans="7:10" ht="30" customHeight="1">
      <c r="G70" s="82"/>
      <c r="H70" s="82"/>
      <c r="I70" s="82"/>
      <c r="J70" s="82"/>
    </row>
    <row r="71" spans="7:10" ht="30" customHeight="1">
      <c r="G71" s="82"/>
      <c r="H71" s="82"/>
      <c r="I71" s="82"/>
      <c r="J71" s="82"/>
    </row>
    <row r="72" spans="7:10" ht="30" customHeight="1">
      <c r="G72" s="82"/>
      <c r="H72" s="82"/>
      <c r="I72" s="82"/>
      <c r="J72" s="82"/>
    </row>
    <row r="73" spans="7:10" ht="30" customHeight="1">
      <c r="G73" s="82"/>
      <c r="H73" s="82"/>
      <c r="I73" s="82"/>
      <c r="J73" s="82"/>
    </row>
    <row r="74" spans="7:10" ht="30" customHeight="1">
      <c r="G74" s="82"/>
      <c r="H74" s="82"/>
      <c r="I74" s="82"/>
      <c r="J74" s="82"/>
    </row>
    <row r="75" spans="7:10" ht="30" customHeight="1">
      <c r="G75" s="82"/>
      <c r="H75" s="82"/>
      <c r="I75" s="82"/>
      <c r="J75" s="82"/>
    </row>
    <row r="76" spans="7:10" ht="30" customHeight="1">
      <c r="G76" s="82"/>
      <c r="H76" s="82"/>
      <c r="I76" s="82"/>
      <c r="J76" s="82"/>
    </row>
    <row r="77" spans="7:10" ht="30" customHeight="1">
      <c r="G77" s="82"/>
      <c r="H77" s="82"/>
      <c r="I77" s="82"/>
      <c r="J77" s="82"/>
    </row>
    <row r="78" spans="7:10" ht="30" customHeight="1">
      <c r="G78" s="82"/>
      <c r="H78" s="82"/>
      <c r="I78" s="82"/>
      <c r="J78" s="82"/>
    </row>
    <row r="79" spans="7:10" ht="30" customHeight="1">
      <c r="G79" s="82"/>
      <c r="H79" s="82"/>
      <c r="I79" s="82"/>
      <c r="J79" s="82"/>
    </row>
    <row r="80" spans="7:10" ht="30" customHeight="1">
      <c r="G80" s="82"/>
      <c r="H80" s="82"/>
      <c r="I80" s="82"/>
      <c r="J80" s="82"/>
    </row>
    <row r="81" spans="7:10" ht="30" customHeight="1">
      <c r="G81" s="82"/>
      <c r="H81" s="82"/>
      <c r="I81" s="82"/>
      <c r="J81" s="82"/>
    </row>
    <row r="82" spans="7:10" ht="30" customHeight="1">
      <c r="G82" s="82"/>
      <c r="H82" s="82"/>
      <c r="I82" s="82"/>
      <c r="J82" s="82"/>
    </row>
    <row r="83" spans="7:10" ht="30" customHeight="1">
      <c r="G83" s="82"/>
      <c r="H83" s="82"/>
      <c r="I83" s="82"/>
      <c r="J83" s="82"/>
    </row>
    <row r="84" spans="7:10" ht="30" customHeight="1">
      <c r="G84" s="82"/>
      <c r="H84" s="82"/>
      <c r="I84" s="82"/>
      <c r="J84" s="82"/>
    </row>
    <row r="85" spans="7:10" ht="30" customHeight="1">
      <c r="G85" s="82"/>
      <c r="H85" s="82"/>
      <c r="I85" s="82"/>
      <c r="J85" s="82"/>
    </row>
    <row r="86" spans="7:10" ht="30" customHeight="1">
      <c r="G86" s="82"/>
      <c r="H86" s="82"/>
      <c r="I86" s="82"/>
      <c r="J86" s="82"/>
    </row>
    <row r="87" spans="7:10" ht="30" customHeight="1">
      <c r="G87" s="82"/>
      <c r="H87" s="82"/>
      <c r="I87" s="82"/>
      <c r="J87" s="82"/>
    </row>
    <row r="88" spans="7:10" ht="30" customHeight="1">
      <c r="G88" s="82"/>
      <c r="H88" s="82"/>
      <c r="I88" s="82"/>
      <c r="J88" s="82"/>
    </row>
    <row r="89" spans="7:10" ht="30" customHeight="1">
      <c r="G89" s="82"/>
      <c r="H89" s="82"/>
      <c r="I89" s="82"/>
      <c r="J89" s="82"/>
    </row>
    <row r="90" spans="7:10" ht="30" customHeight="1">
      <c r="G90" s="82"/>
      <c r="H90" s="82"/>
      <c r="I90" s="82"/>
      <c r="J90" s="82"/>
    </row>
    <row r="91" spans="7:10" ht="30" customHeight="1">
      <c r="G91" s="82"/>
      <c r="H91" s="82"/>
      <c r="I91" s="82"/>
      <c r="J91" s="82"/>
    </row>
    <row r="92" spans="7:10" ht="30" customHeight="1">
      <c r="G92" s="82"/>
      <c r="H92" s="82"/>
      <c r="I92" s="82"/>
      <c r="J92" s="82"/>
    </row>
    <row r="93" spans="7:10" ht="30" customHeight="1">
      <c r="G93" s="82"/>
      <c r="H93" s="82"/>
      <c r="I93" s="82"/>
      <c r="J93" s="82"/>
    </row>
    <row r="94" spans="7:10" ht="30" customHeight="1">
      <c r="G94" s="82"/>
      <c r="H94" s="82"/>
      <c r="I94" s="82"/>
      <c r="J94" s="82"/>
    </row>
    <row r="95" spans="7:10" ht="30" customHeight="1">
      <c r="G95" s="82"/>
      <c r="H95" s="82"/>
      <c r="I95" s="82"/>
      <c r="J95" s="82"/>
    </row>
    <row r="96" spans="7:10" ht="30" customHeight="1">
      <c r="G96" s="82"/>
      <c r="H96" s="82"/>
      <c r="I96" s="82"/>
      <c r="J96" s="82"/>
    </row>
    <row r="97" spans="7:10" ht="30" customHeight="1">
      <c r="G97" s="82"/>
      <c r="H97" s="82"/>
      <c r="I97" s="82"/>
      <c r="J97" s="82"/>
    </row>
    <row r="98" spans="7:10" ht="30" customHeight="1">
      <c r="G98" s="82"/>
      <c r="H98" s="82"/>
      <c r="I98" s="82"/>
      <c r="J98" s="82"/>
    </row>
    <row r="99" spans="7:10" ht="30" customHeight="1">
      <c r="G99" s="82"/>
      <c r="H99" s="82"/>
      <c r="I99" s="82"/>
      <c r="J99" s="82"/>
    </row>
    <row r="100" spans="7:10" ht="30" customHeight="1">
      <c r="G100" s="82"/>
      <c r="H100" s="82"/>
      <c r="I100" s="82"/>
      <c r="J100" s="82"/>
    </row>
    <row r="101" spans="7:10" ht="30" customHeight="1">
      <c r="G101" s="82"/>
      <c r="H101" s="82"/>
      <c r="I101" s="82"/>
      <c r="J101" s="82"/>
    </row>
    <row r="102" spans="7:10" ht="30" customHeight="1">
      <c r="G102" s="82"/>
      <c r="H102" s="82"/>
      <c r="I102" s="82"/>
      <c r="J102" s="82"/>
    </row>
    <row r="103" spans="7:10" ht="30" customHeight="1">
      <c r="G103" s="82"/>
      <c r="H103" s="82"/>
      <c r="I103" s="82"/>
      <c r="J103" s="82"/>
    </row>
    <row r="104" spans="7:10" ht="30" customHeight="1">
      <c r="G104" s="82"/>
      <c r="H104" s="82"/>
      <c r="I104" s="82"/>
      <c r="J104" s="82"/>
    </row>
    <row r="105" spans="7:10" ht="30" customHeight="1">
      <c r="G105" s="82"/>
      <c r="H105" s="82"/>
      <c r="I105" s="82"/>
      <c r="J105" s="82"/>
    </row>
    <row r="106" spans="7:10" ht="30" customHeight="1">
      <c r="G106" s="82"/>
      <c r="H106" s="82"/>
      <c r="I106" s="82"/>
      <c r="J106" s="82"/>
    </row>
    <row r="107" spans="7:10" ht="30" customHeight="1">
      <c r="G107" s="82"/>
      <c r="H107" s="82"/>
      <c r="I107" s="82"/>
      <c r="J107" s="82"/>
    </row>
    <row r="108" spans="7:10" ht="30" customHeight="1">
      <c r="G108" s="82"/>
      <c r="H108" s="82"/>
      <c r="I108" s="82"/>
      <c r="J108" s="82"/>
    </row>
    <row r="109" spans="7:10" ht="30" customHeight="1">
      <c r="G109" s="82"/>
      <c r="H109" s="82"/>
      <c r="I109" s="82"/>
      <c r="J109" s="82"/>
    </row>
    <row r="110" spans="7:10" ht="30" customHeight="1">
      <c r="G110" s="82"/>
      <c r="H110" s="82"/>
      <c r="I110" s="82"/>
      <c r="J110" s="82"/>
    </row>
    <row r="111" spans="7:10" ht="30" customHeight="1">
      <c r="G111" s="82"/>
      <c r="H111" s="82"/>
      <c r="I111" s="82"/>
      <c r="J111" s="82"/>
    </row>
    <row r="112" spans="7:10" ht="30" customHeight="1">
      <c r="G112" s="82"/>
      <c r="H112" s="82"/>
      <c r="I112" s="82"/>
      <c r="J112" s="82"/>
    </row>
    <row r="113" spans="7:10" ht="30" customHeight="1">
      <c r="G113" s="82"/>
      <c r="H113" s="82"/>
      <c r="I113" s="82"/>
      <c r="J113" s="82"/>
    </row>
    <row r="114" spans="7:10" ht="30" customHeight="1">
      <c r="G114" s="82"/>
      <c r="H114" s="82"/>
      <c r="I114" s="82"/>
      <c r="J114" s="82"/>
    </row>
    <row r="115" spans="7:10" ht="30" customHeight="1">
      <c r="G115" s="82"/>
      <c r="H115" s="82"/>
      <c r="I115" s="82"/>
      <c r="J115" s="82"/>
    </row>
    <row r="116" spans="7:10" ht="30" customHeight="1">
      <c r="G116" s="82"/>
      <c r="H116" s="82"/>
      <c r="I116" s="82"/>
      <c r="J116" s="82"/>
    </row>
    <row r="117" spans="7:10" ht="30" customHeight="1">
      <c r="G117" s="82"/>
      <c r="H117" s="82"/>
      <c r="I117" s="82"/>
      <c r="J117" s="82"/>
    </row>
    <row r="118" spans="7:10" ht="30" customHeight="1">
      <c r="G118" s="82"/>
      <c r="H118" s="82"/>
      <c r="I118" s="82"/>
      <c r="J118" s="82"/>
    </row>
    <row r="119" spans="7:10" ht="30" customHeight="1">
      <c r="G119" s="82"/>
      <c r="H119" s="82"/>
      <c r="I119" s="82"/>
      <c r="J119" s="82"/>
    </row>
    <row r="120" spans="7:10" ht="30" customHeight="1">
      <c r="G120" s="82"/>
      <c r="H120" s="82"/>
      <c r="I120" s="82"/>
      <c r="J120" s="82"/>
    </row>
    <row r="121" spans="7:10" ht="30" customHeight="1">
      <c r="G121" s="82"/>
      <c r="H121" s="82"/>
      <c r="I121" s="82"/>
      <c r="J121" s="82"/>
    </row>
    <row r="122" spans="7:10" ht="30" customHeight="1">
      <c r="G122" s="82"/>
      <c r="H122" s="82"/>
      <c r="I122" s="82"/>
      <c r="J122" s="82"/>
    </row>
    <row r="123" spans="7:10" ht="30" customHeight="1">
      <c r="G123" s="82"/>
      <c r="H123" s="82"/>
      <c r="I123" s="82"/>
      <c r="J123" s="82"/>
    </row>
    <row r="124" spans="7:10" ht="30" customHeight="1">
      <c r="G124" s="82"/>
      <c r="H124" s="82"/>
      <c r="I124" s="82"/>
      <c r="J124" s="82"/>
    </row>
    <row r="125" spans="7:10" ht="30" customHeight="1">
      <c r="G125" s="82"/>
      <c r="H125" s="82"/>
      <c r="I125" s="82"/>
      <c r="J125" s="82"/>
    </row>
    <row r="126" spans="7:10" ht="30" customHeight="1">
      <c r="G126" s="82"/>
      <c r="H126" s="82"/>
      <c r="I126" s="82"/>
      <c r="J126" s="82"/>
    </row>
    <row r="127" spans="7:10" ht="30" customHeight="1">
      <c r="G127" s="82"/>
      <c r="H127" s="82"/>
      <c r="I127" s="82"/>
      <c r="J127" s="82"/>
    </row>
    <row r="128" spans="7:10" ht="30" customHeight="1">
      <c r="G128" s="82"/>
      <c r="H128" s="82"/>
      <c r="I128" s="82"/>
      <c r="J128" s="82"/>
    </row>
    <row r="129" spans="7:10" ht="30" customHeight="1">
      <c r="G129" s="82"/>
      <c r="H129" s="82"/>
      <c r="I129" s="82"/>
      <c r="J129" s="82"/>
    </row>
    <row r="130" spans="7:10" ht="30" customHeight="1">
      <c r="G130" s="82"/>
      <c r="H130" s="82"/>
      <c r="I130" s="82"/>
      <c r="J130" s="82"/>
    </row>
    <row r="131" spans="7:10" ht="30" customHeight="1">
      <c r="G131" s="82"/>
      <c r="H131" s="82"/>
      <c r="I131" s="82"/>
      <c r="J131" s="82"/>
    </row>
    <row r="132" spans="7:10" ht="30" customHeight="1">
      <c r="G132" s="82"/>
      <c r="H132" s="82"/>
      <c r="I132" s="82"/>
      <c r="J132" s="82"/>
    </row>
    <row r="133" spans="7:10" ht="30" customHeight="1">
      <c r="G133" s="82"/>
      <c r="H133" s="82"/>
      <c r="I133" s="82"/>
      <c r="J133" s="82"/>
    </row>
    <row r="134" spans="7:10" ht="30" customHeight="1">
      <c r="G134" s="82"/>
      <c r="H134" s="82"/>
      <c r="I134" s="82"/>
      <c r="J134" s="82"/>
    </row>
    <row r="135" spans="7:10" ht="30" customHeight="1">
      <c r="G135" s="82"/>
      <c r="H135" s="82"/>
      <c r="I135" s="82"/>
      <c r="J135" s="82"/>
    </row>
    <row r="136" spans="7:10" ht="30" customHeight="1">
      <c r="G136" s="82"/>
      <c r="H136" s="82"/>
      <c r="I136" s="82"/>
      <c r="J136" s="82"/>
    </row>
    <row r="137" spans="7:10" ht="30" customHeight="1">
      <c r="G137" s="82"/>
      <c r="H137" s="82"/>
      <c r="I137" s="82"/>
      <c r="J137" s="82"/>
    </row>
    <row r="138" spans="7:10" ht="30" customHeight="1">
      <c r="G138" s="82"/>
      <c r="H138" s="82"/>
      <c r="I138" s="82"/>
      <c r="J138" s="82"/>
    </row>
    <row r="139" spans="7:10" ht="30" customHeight="1">
      <c r="G139" s="82"/>
      <c r="H139" s="82"/>
      <c r="I139" s="82"/>
      <c r="J139" s="82"/>
    </row>
    <row r="140" spans="7:10" ht="30" customHeight="1">
      <c r="G140" s="82"/>
      <c r="H140" s="82"/>
      <c r="I140" s="82"/>
      <c r="J140" s="82"/>
    </row>
    <row r="141" spans="7:10" ht="30" customHeight="1">
      <c r="G141" s="82"/>
      <c r="H141" s="82"/>
      <c r="I141" s="82"/>
      <c r="J141" s="82"/>
    </row>
    <row r="142" spans="7:10" ht="30" customHeight="1">
      <c r="G142" s="82"/>
      <c r="H142" s="82"/>
      <c r="I142" s="82"/>
      <c r="J142" s="82"/>
    </row>
    <row r="143" spans="7:10" ht="30" customHeight="1">
      <c r="G143" s="82"/>
      <c r="H143" s="82"/>
      <c r="I143" s="82"/>
      <c r="J143" s="82"/>
    </row>
    <row r="144" spans="7:10" ht="30" customHeight="1">
      <c r="G144" s="82"/>
      <c r="H144" s="82"/>
      <c r="I144" s="82"/>
      <c r="J144" s="82"/>
    </row>
    <row r="145" spans="7:10" ht="30" customHeight="1">
      <c r="G145" s="82"/>
      <c r="H145" s="82"/>
      <c r="I145" s="82"/>
      <c r="J145" s="82"/>
    </row>
    <row r="146" spans="7:10" ht="30" customHeight="1">
      <c r="G146" s="82"/>
      <c r="H146" s="82"/>
      <c r="I146" s="82"/>
      <c r="J146" s="82"/>
    </row>
    <row r="147" spans="7:10" ht="30" customHeight="1">
      <c r="G147" s="82"/>
      <c r="H147" s="82"/>
      <c r="I147" s="82"/>
      <c r="J147" s="82"/>
    </row>
    <row r="148" spans="7:10" ht="30" customHeight="1">
      <c r="G148" s="82"/>
      <c r="H148" s="82"/>
      <c r="I148" s="82"/>
      <c r="J148" s="82"/>
    </row>
    <row r="149" spans="7:10" ht="30" customHeight="1">
      <c r="G149" s="82"/>
      <c r="H149" s="82"/>
      <c r="I149" s="82"/>
      <c r="J149" s="82"/>
    </row>
    <row r="150" spans="7:10" ht="30" customHeight="1">
      <c r="G150" s="82"/>
      <c r="H150" s="82"/>
      <c r="I150" s="82"/>
      <c r="J150" s="82"/>
    </row>
    <row r="151" spans="7:10" ht="30" customHeight="1">
      <c r="G151" s="82"/>
      <c r="H151" s="82"/>
      <c r="I151" s="82"/>
      <c r="J151" s="82"/>
    </row>
    <row r="152" spans="7:10" ht="30" customHeight="1">
      <c r="G152" s="82"/>
      <c r="H152" s="82"/>
      <c r="I152" s="82"/>
      <c r="J152" s="82"/>
    </row>
    <row r="153" spans="7:10" ht="30" customHeight="1">
      <c r="G153" s="82"/>
      <c r="H153" s="82"/>
      <c r="I153" s="82"/>
      <c r="J153" s="82"/>
    </row>
    <row r="154" spans="7:10" ht="30" customHeight="1">
      <c r="G154" s="82"/>
      <c r="H154" s="82"/>
      <c r="I154" s="82"/>
      <c r="J154" s="82"/>
    </row>
    <row r="155" spans="7:10" ht="30" customHeight="1">
      <c r="G155" s="82"/>
      <c r="H155" s="82"/>
      <c r="I155" s="82"/>
      <c r="J155" s="82"/>
    </row>
    <row r="156" spans="7:10" ht="30" customHeight="1">
      <c r="G156" s="82"/>
      <c r="H156" s="82"/>
      <c r="I156" s="82"/>
      <c r="J156" s="82"/>
    </row>
    <row r="157" spans="7:10" ht="30" customHeight="1">
      <c r="G157" s="82"/>
      <c r="H157" s="82"/>
      <c r="I157" s="82"/>
      <c r="J157" s="82"/>
    </row>
    <row r="158" spans="7:10" ht="30" customHeight="1">
      <c r="G158" s="82"/>
      <c r="H158" s="82"/>
      <c r="I158" s="82"/>
      <c r="J158" s="82"/>
    </row>
    <row r="159" spans="7:10" ht="30" customHeight="1">
      <c r="G159" s="82"/>
      <c r="H159" s="82"/>
      <c r="I159" s="82"/>
      <c r="J159" s="82"/>
    </row>
    <row r="160" spans="7:10" ht="30" customHeight="1">
      <c r="G160" s="82"/>
      <c r="H160" s="82"/>
      <c r="I160" s="82"/>
      <c r="J160" s="82"/>
    </row>
    <row r="161" spans="7:10" ht="30" customHeight="1">
      <c r="G161" s="82"/>
      <c r="H161" s="82"/>
      <c r="I161" s="82"/>
      <c r="J161" s="82"/>
    </row>
    <row r="162" spans="7:10" ht="30" customHeight="1">
      <c r="G162" s="82"/>
      <c r="H162" s="82"/>
      <c r="I162" s="82"/>
      <c r="J162" s="82"/>
    </row>
    <row r="163" spans="7:10" ht="30" customHeight="1">
      <c r="G163" s="82"/>
      <c r="H163" s="82"/>
      <c r="I163" s="82"/>
      <c r="J163" s="82"/>
    </row>
    <row r="164" spans="7:10" ht="30" customHeight="1">
      <c r="G164" s="82"/>
      <c r="H164" s="82"/>
      <c r="I164" s="82"/>
      <c r="J164" s="82"/>
    </row>
    <row r="165" spans="7:10" ht="30" customHeight="1">
      <c r="G165" s="82"/>
      <c r="H165" s="82"/>
      <c r="I165" s="82"/>
      <c r="J165" s="82"/>
    </row>
    <row r="166" spans="7:10" ht="30" customHeight="1">
      <c r="G166" s="82"/>
      <c r="H166" s="82"/>
      <c r="I166" s="82"/>
      <c r="J166" s="82"/>
    </row>
    <row r="167" spans="7:10" ht="30" customHeight="1">
      <c r="G167" s="82"/>
      <c r="H167" s="82"/>
      <c r="I167" s="82"/>
      <c r="J167" s="82"/>
    </row>
    <row r="168" spans="7:10" ht="30" customHeight="1">
      <c r="G168" s="82"/>
      <c r="H168" s="82"/>
      <c r="I168" s="82"/>
      <c r="J168" s="82"/>
    </row>
    <row r="169" spans="7:10" ht="30" customHeight="1">
      <c r="G169" s="82"/>
      <c r="H169" s="82"/>
      <c r="I169" s="82"/>
      <c r="J169" s="82"/>
    </row>
    <row r="170" spans="7:10" ht="30" customHeight="1">
      <c r="G170" s="82"/>
      <c r="H170" s="82"/>
      <c r="I170" s="82"/>
      <c r="J170" s="82"/>
    </row>
    <row r="171" spans="7:10" ht="30" customHeight="1">
      <c r="G171" s="82"/>
      <c r="H171" s="82"/>
      <c r="I171" s="82"/>
      <c r="J171" s="82"/>
    </row>
    <row r="172" spans="7:10" ht="30" customHeight="1">
      <c r="G172" s="82"/>
      <c r="H172" s="82"/>
      <c r="I172" s="82"/>
      <c r="J172" s="82"/>
    </row>
    <row r="173" spans="7:10" ht="30" customHeight="1">
      <c r="G173" s="82"/>
      <c r="H173" s="82"/>
      <c r="I173" s="82"/>
      <c r="J173" s="82"/>
    </row>
    <row r="174" spans="7:10" ht="30" customHeight="1">
      <c r="G174" s="82"/>
      <c r="H174" s="82"/>
      <c r="I174" s="82"/>
      <c r="J174" s="82"/>
    </row>
    <row r="175" spans="7:10" ht="30" customHeight="1">
      <c r="G175" s="82"/>
      <c r="H175" s="82"/>
      <c r="I175" s="82"/>
      <c r="J175" s="82"/>
    </row>
    <row r="176" spans="7:10" ht="30" customHeight="1">
      <c r="G176" s="82"/>
      <c r="H176" s="82"/>
      <c r="I176" s="82"/>
      <c r="J176" s="82"/>
    </row>
    <row r="177" spans="7:10" ht="30" customHeight="1">
      <c r="G177" s="82"/>
      <c r="H177" s="82"/>
      <c r="I177" s="82"/>
      <c r="J177" s="82"/>
    </row>
    <row r="178" spans="7:10" ht="30" customHeight="1">
      <c r="G178" s="82"/>
      <c r="H178" s="82"/>
      <c r="I178" s="82"/>
      <c r="J178" s="82"/>
    </row>
    <row r="179" spans="7:10" ht="30" customHeight="1">
      <c r="G179" s="82"/>
      <c r="H179" s="82"/>
      <c r="I179" s="82"/>
      <c r="J179" s="82"/>
    </row>
    <row r="180" spans="7:10" ht="30" customHeight="1">
      <c r="G180" s="82"/>
      <c r="H180" s="82"/>
      <c r="I180" s="82"/>
      <c r="J180" s="82"/>
    </row>
    <row r="181" spans="7:10" ht="30" customHeight="1">
      <c r="G181" s="82"/>
      <c r="H181" s="82"/>
      <c r="I181" s="82"/>
      <c r="J181" s="82"/>
    </row>
    <row r="182" spans="7:10" ht="30" customHeight="1">
      <c r="G182" s="82"/>
      <c r="H182" s="82"/>
      <c r="I182" s="82"/>
      <c r="J182" s="82"/>
    </row>
    <row r="183" spans="7:10" ht="30" customHeight="1">
      <c r="G183" s="82"/>
      <c r="H183" s="82"/>
      <c r="I183" s="82"/>
      <c r="J183" s="82"/>
    </row>
    <row r="184" spans="7:10" ht="30" customHeight="1">
      <c r="G184" s="82"/>
      <c r="H184" s="82"/>
      <c r="I184" s="82"/>
      <c r="J184" s="82"/>
    </row>
    <row r="185" spans="7:10" ht="30" customHeight="1">
      <c r="G185" s="82"/>
      <c r="H185" s="82"/>
      <c r="I185" s="82"/>
      <c r="J185" s="82"/>
    </row>
    <row r="186" spans="7:10" ht="30" customHeight="1">
      <c r="G186" s="82"/>
      <c r="H186" s="82"/>
      <c r="I186" s="82"/>
      <c r="J186" s="82"/>
    </row>
    <row r="187" spans="7:10" ht="30" customHeight="1">
      <c r="G187" s="82"/>
      <c r="H187" s="82"/>
      <c r="I187" s="82"/>
      <c r="J187" s="82"/>
    </row>
    <row r="188" spans="7:10" ht="30" customHeight="1">
      <c r="G188" s="82"/>
      <c r="H188" s="82"/>
      <c r="I188" s="82"/>
      <c r="J188" s="82"/>
    </row>
    <row r="189" spans="7:10" ht="30" customHeight="1">
      <c r="G189" s="82"/>
      <c r="H189" s="82"/>
      <c r="I189" s="82"/>
      <c r="J189" s="82"/>
    </row>
    <row r="190" spans="7:10" ht="30" customHeight="1">
      <c r="G190" s="82"/>
      <c r="H190" s="82"/>
      <c r="I190" s="82"/>
      <c r="J190" s="82"/>
    </row>
    <row r="191" spans="7:10" ht="30" customHeight="1">
      <c r="G191" s="82"/>
      <c r="H191" s="82"/>
      <c r="I191" s="82"/>
      <c r="J191" s="82"/>
    </row>
    <row r="192" spans="7:10" ht="30" customHeight="1">
      <c r="G192" s="82"/>
      <c r="H192" s="82"/>
      <c r="I192" s="82"/>
      <c r="J192" s="82"/>
    </row>
    <row r="193" spans="7:10" ht="30" customHeight="1">
      <c r="G193" s="82"/>
      <c r="H193" s="82"/>
      <c r="I193" s="82"/>
      <c r="J193" s="82"/>
    </row>
    <row r="194" spans="7:10" ht="30" customHeight="1">
      <c r="G194" s="82"/>
      <c r="H194" s="82"/>
      <c r="I194" s="82"/>
      <c r="J194" s="82"/>
    </row>
    <row r="195" spans="7:10" ht="30" customHeight="1">
      <c r="G195" s="82"/>
      <c r="H195" s="82"/>
      <c r="I195" s="82"/>
      <c r="J195" s="82"/>
    </row>
    <row r="196" spans="7:10" ht="30" customHeight="1">
      <c r="G196" s="82"/>
      <c r="H196" s="82"/>
      <c r="I196" s="82"/>
      <c r="J196" s="82"/>
    </row>
    <row r="197" spans="7:10" ht="30" customHeight="1">
      <c r="G197" s="82"/>
      <c r="H197" s="82"/>
      <c r="I197" s="82"/>
      <c r="J197" s="82"/>
    </row>
    <row r="198" spans="7:10" ht="30" customHeight="1">
      <c r="G198" s="82"/>
      <c r="H198" s="82"/>
      <c r="I198" s="82"/>
      <c r="J198" s="82"/>
    </row>
    <row r="199" spans="7:10" ht="30" customHeight="1">
      <c r="G199" s="82"/>
      <c r="H199" s="82"/>
      <c r="I199" s="82"/>
      <c r="J199" s="82"/>
    </row>
    <row r="200" spans="7:10" ht="30" customHeight="1">
      <c r="G200" s="82"/>
      <c r="H200" s="82"/>
      <c r="I200" s="82"/>
      <c r="J200" s="82"/>
    </row>
    <row r="201" spans="7:10" ht="30" customHeight="1">
      <c r="G201" s="82"/>
      <c r="H201" s="82"/>
      <c r="I201" s="82"/>
      <c r="J201" s="82"/>
    </row>
    <row r="202" spans="7:10" ht="30" customHeight="1">
      <c r="G202" s="82"/>
      <c r="H202" s="82"/>
      <c r="I202" s="82"/>
      <c r="J202" s="82"/>
    </row>
    <row r="203" spans="7:10" ht="30" customHeight="1">
      <c r="G203" s="82"/>
      <c r="H203" s="82"/>
      <c r="I203" s="82"/>
      <c r="J203" s="82"/>
    </row>
    <row r="204" spans="7:10" ht="30" customHeight="1">
      <c r="G204" s="82"/>
      <c r="H204" s="82"/>
      <c r="I204" s="82"/>
      <c r="J204" s="82"/>
    </row>
    <row r="205" spans="7:10" ht="30" customHeight="1">
      <c r="G205" s="82"/>
      <c r="H205" s="82"/>
      <c r="I205" s="82"/>
      <c r="J205" s="82"/>
    </row>
    <row r="206" spans="7:10" ht="30" customHeight="1">
      <c r="G206" s="82"/>
      <c r="H206" s="82"/>
      <c r="I206" s="82"/>
      <c r="J206" s="82"/>
    </row>
    <row r="207" spans="7:10" ht="30" customHeight="1">
      <c r="G207" s="82"/>
      <c r="H207" s="82"/>
      <c r="I207" s="82"/>
      <c r="J207" s="82"/>
    </row>
    <row r="208" spans="7:10" ht="30" customHeight="1">
      <c r="G208" s="82"/>
      <c r="H208" s="82"/>
      <c r="I208" s="82"/>
      <c r="J208" s="82"/>
    </row>
    <row r="209" spans="7:10" ht="30" customHeight="1">
      <c r="G209" s="82"/>
      <c r="H209" s="82"/>
      <c r="I209" s="82"/>
      <c r="J209" s="82"/>
    </row>
    <row r="210" spans="7:10" ht="30" customHeight="1">
      <c r="G210" s="82"/>
      <c r="H210" s="82"/>
      <c r="I210" s="82"/>
      <c r="J210" s="82"/>
    </row>
    <row r="211" spans="7:10" ht="30" customHeight="1">
      <c r="G211" s="82"/>
      <c r="H211" s="82"/>
      <c r="I211" s="82"/>
      <c r="J211" s="82"/>
    </row>
    <row r="212" spans="7:10" ht="30" customHeight="1">
      <c r="G212" s="82"/>
      <c r="H212" s="82"/>
      <c r="I212" s="82"/>
      <c r="J212" s="82"/>
    </row>
    <row r="213" spans="7:10" ht="30" customHeight="1">
      <c r="G213" s="82"/>
      <c r="H213" s="82"/>
      <c r="I213" s="82"/>
      <c r="J213" s="82"/>
    </row>
    <row r="214" spans="7:10" ht="30" customHeight="1">
      <c r="G214" s="82"/>
      <c r="H214" s="82"/>
      <c r="I214" s="82"/>
      <c r="J214" s="82"/>
    </row>
    <row r="215" spans="7:10" ht="30" customHeight="1">
      <c r="G215" s="82"/>
      <c r="H215" s="82"/>
      <c r="I215" s="82"/>
      <c r="J215" s="82"/>
    </row>
    <row r="216" spans="7:10" ht="30" customHeight="1">
      <c r="G216" s="82"/>
      <c r="H216" s="82"/>
      <c r="I216" s="82"/>
      <c r="J216" s="82"/>
    </row>
    <row r="217" spans="7:10" ht="30" customHeight="1">
      <c r="G217" s="82"/>
      <c r="H217" s="82"/>
      <c r="I217" s="82"/>
      <c r="J217" s="82"/>
    </row>
    <row r="218" spans="7:10" ht="30" customHeight="1">
      <c r="G218" s="82"/>
      <c r="H218" s="82"/>
      <c r="I218" s="82"/>
      <c r="J218" s="82"/>
    </row>
    <row r="219" spans="7:10" ht="30" customHeight="1">
      <c r="G219" s="82"/>
      <c r="H219" s="82"/>
      <c r="I219" s="82"/>
      <c r="J219" s="82"/>
    </row>
    <row r="220" spans="7:10" ht="30" customHeight="1">
      <c r="G220" s="82"/>
      <c r="H220" s="82"/>
      <c r="I220" s="82"/>
      <c r="J220" s="82"/>
    </row>
    <row r="221" spans="7:10" ht="30" customHeight="1">
      <c r="G221" s="82"/>
      <c r="H221" s="82"/>
      <c r="I221" s="82"/>
      <c r="J221" s="82"/>
    </row>
    <row r="222" spans="7:10" ht="30" customHeight="1">
      <c r="G222" s="82"/>
      <c r="H222" s="82"/>
      <c r="I222" s="82"/>
      <c r="J222" s="82"/>
    </row>
    <row r="223" spans="7:10" ht="30" customHeight="1">
      <c r="G223" s="82"/>
      <c r="H223" s="82"/>
      <c r="I223" s="82"/>
      <c r="J223" s="82"/>
    </row>
    <row r="224" spans="7:10" ht="30" customHeight="1">
      <c r="G224" s="82"/>
      <c r="H224" s="82"/>
      <c r="I224" s="82"/>
      <c r="J224" s="82"/>
    </row>
    <row r="225" spans="7:10" ht="30" customHeight="1">
      <c r="G225" s="82"/>
      <c r="H225" s="82"/>
      <c r="I225" s="82"/>
      <c r="J225" s="82"/>
    </row>
    <row r="226" spans="7:10" ht="30" customHeight="1">
      <c r="G226" s="82"/>
      <c r="H226" s="82"/>
      <c r="I226" s="82"/>
      <c r="J226" s="82"/>
    </row>
    <row r="227" spans="7:10" ht="30" customHeight="1">
      <c r="G227" s="82"/>
      <c r="H227" s="82"/>
      <c r="I227" s="82"/>
      <c r="J227" s="82"/>
    </row>
    <row r="228" spans="7:10" ht="30" customHeight="1">
      <c r="G228" s="82"/>
      <c r="H228" s="82"/>
      <c r="I228" s="82"/>
      <c r="J228" s="82"/>
    </row>
    <row r="229" spans="7:10" ht="30" customHeight="1">
      <c r="G229" s="82"/>
      <c r="H229" s="82"/>
      <c r="I229" s="82"/>
      <c r="J229" s="82"/>
    </row>
    <row r="230" spans="7:10" ht="30" customHeight="1">
      <c r="G230" s="82"/>
      <c r="H230" s="82"/>
      <c r="I230" s="82"/>
      <c r="J230" s="82"/>
    </row>
    <row r="231" spans="7:10" ht="30" customHeight="1">
      <c r="G231" s="82"/>
      <c r="H231" s="82"/>
      <c r="I231" s="82"/>
      <c r="J231" s="82"/>
    </row>
    <row r="232" spans="7:10" ht="30" customHeight="1">
      <c r="G232" s="82"/>
      <c r="H232" s="82"/>
      <c r="I232" s="82"/>
      <c r="J232" s="82"/>
    </row>
    <row r="233" spans="7:10" ht="30" customHeight="1">
      <c r="G233" s="82"/>
      <c r="H233" s="82"/>
      <c r="I233" s="82"/>
      <c r="J233" s="82"/>
    </row>
    <row r="234" spans="7:10" ht="30" customHeight="1">
      <c r="G234" s="82"/>
      <c r="H234" s="82"/>
      <c r="I234" s="82"/>
      <c r="J234" s="82"/>
    </row>
    <row r="235" spans="7:10" ht="30" customHeight="1">
      <c r="G235" s="82"/>
      <c r="H235" s="82"/>
      <c r="I235" s="82"/>
      <c r="J235" s="82"/>
    </row>
    <row r="236" spans="7:10" ht="30" customHeight="1">
      <c r="G236" s="82"/>
      <c r="H236" s="82"/>
      <c r="I236" s="82"/>
      <c r="J236" s="82"/>
    </row>
    <row r="237" spans="7:10" ht="30" customHeight="1">
      <c r="G237" s="82"/>
      <c r="H237" s="82"/>
      <c r="I237" s="82"/>
      <c r="J237" s="82"/>
    </row>
    <row r="238" spans="7:10" ht="30" customHeight="1">
      <c r="G238" s="82"/>
      <c r="H238" s="82"/>
      <c r="I238" s="82"/>
      <c r="J238" s="82"/>
    </row>
    <row r="239" spans="7:10" ht="30" customHeight="1">
      <c r="G239" s="82"/>
      <c r="H239" s="82"/>
      <c r="I239" s="82"/>
      <c r="J239" s="82"/>
    </row>
    <row r="240" spans="7:10" ht="30" customHeight="1">
      <c r="G240" s="82"/>
      <c r="H240" s="82"/>
      <c r="I240" s="82"/>
      <c r="J240" s="82"/>
    </row>
    <row r="241" spans="7:10" ht="30" customHeight="1">
      <c r="G241" s="82"/>
      <c r="H241" s="82"/>
      <c r="I241" s="82"/>
      <c r="J241" s="82"/>
    </row>
    <row r="242" spans="7:10" ht="30" customHeight="1">
      <c r="G242" s="82"/>
      <c r="H242" s="82"/>
      <c r="I242" s="82"/>
      <c r="J242" s="82"/>
    </row>
    <row r="243" spans="7:10" ht="30" customHeight="1">
      <c r="G243" s="82"/>
      <c r="H243" s="82"/>
      <c r="I243" s="82"/>
      <c r="J243" s="82"/>
    </row>
    <row r="244" spans="7:10" ht="30" customHeight="1">
      <c r="G244" s="82"/>
      <c r="H244" s="82"/>
      <c r="I244" s="82"/>
      <c r="J244" s="82"/>
    </row>
    <row r="245" spans="7:10" ht="30" customHeight="1">
      <c r="G245" s="82"/>
      <c r="H245" s="82"/>
      <c r="I245" s="82"/>
      <c r="J245" s="82"/>
    </row>
    <row r="246" spans="7:10" ht="30" customHeight="1">
      <c r="G246" s="82"/>
      <c r="H246" s="82"/>
      <c r="I246" s="82"/>
      <c r="J246" s="82"/>
    </row>
    <row r="247" spans="7:10" ht="30" customHeight="1">
      <c r="G247" s="82"/>
      <c r="H247" s="82"/>
      <c r="I247" s="82"/>
      <c r="J247" s="82"/>
    </row>
    <row r="248" spans="7:10" ht="30" customHeight="1">
      <c r="G248" s="82"/>
      <c r="H248" s="82"/>
      <c r="I248" s="82"/>
      <c r="J248" s="82"/>
    </row>
    <row r="249" spans="7:10" ht="30" customHeight="1">
      <c r="G249" s="82"/>
      <c r="H249" s="82"/>
      <c r="I249" s="82"/>
      <c r="J249" s="82"/>
    </row>
    <row r="250" spans="7:10" ht="30" customHeight="1">
      <c r="G250" s="82"/>
      <c r="H250" s="82"/>
      <c r="I250" s="82"/>
      <c r="J250" s="82"/>
    </row>
    <row r="251" spans="7:10" ht="30" customHeight="1">
      <c r="G251" s="82"/>
      <c r="H251" s="82"/>
      <c r="I251" s="82"/>
      <c r="J251" s="82"/>
    </row>
    <row r="252" spans="7:10" ht="30" customHeight="1">
      <c r="G252" s="82"/>
      <c r="H252" s="82"/>
      <c r="I252" s="82"/>
      <c r="J252" s="82"/>
    </row>
    <row r="253" spans="7:10" ht="30" customHeight="1">
      <c r="G253" s="82"/>
      <c r="H253" s="82"/>
      <c r="I253" s="82"/>
      <c r="J253" s="82"/>
    </row>
    <row r="254" spans="7:10" ht="30" customHeight="1">
      <c r="G254" s="82"/>
      <c r="H254" s="82"/>
      <c r="I254" s="82"/>
      <c r="J254" s="82"/>
    </row>
    <row r="255" spans="7:10" ht="30" customHeight="1">
      <c r="G255" s="82"/>
      <c r="H255" s="82"/>
      <c r="I255" s="82"/>
      <c r="J255" s="82"/>
    </row>
    <row r="256" spans="7:10" ht="30" customHeight="1">
      <c r="G256" s="82"/>
      <c r="H256" s="82"/>
      <c r="I256" s="82"/>
      <c r="J256" s="82"/>
    </row>
    <row r="257" spans="7:10" ht="30" customHeight="1">
      <c r="G257" s="82"/>
      <c r="H257" s="82"/>
      <c r="I257" s="82"/>
      <c r="J257" s="82"/>
    </row>
    <row r="258" spans="7:10" ht="30" customHeight="1">
      <c r="G258" s="82"/>
      <c r="H258" s="82"/>
      <c r="I258" s="82"/>
      <c r="J258" s="82"/>
    </row>
    <row r="259" spans="7:10" ht="30" customHeight="1">
      <c r="G259" s="82"/>
      <c r="H259" s="82"/>
      <c r="I259" s="82"/>
      <c r="J259" s="82"/>
    </row>
    <row r="260" spans="7:10" ht="30" customHeight="1">
      <c r="G260" s="82"/>
      <c r="H260" s="82"/>
      <c r="I260" s="82"/>
      <c r="J260" s="82"/>
    </row>
    <row r="261" spans="7:10" ht="30" customHeight="1">
      <c r="G261" s="82"/>
      <c r="H261" s="82"/>
      <c r="I261" s="82"/>
      <c r="J261" s="82"/>
    </row>
    <row r="262" spans="7:10" ht="30" customHeight="1">
      <c r="G262" s="82"/>
      <c r="H262" s="82"/>
      <c r="I262" s="82"/>
      <c r="J262" s="82"/>
    </row>
    <row r="263" spans="7:10" ht="30" customHeight="1">
      <c r="G263" s="82"/>
      <c r="H263" s="82"/>
      <c r="I263" s="82"/>
      <c r="J263" s="82"/>
    </row>
  </sheetData>
  <sheetProtection/>
  <mergeCells count="88">
    <mergeCell ref="C1:J2"/>
    <mergeCell ref="A3:D5"/>
    <mergeCell ref="E3:E5"/>
    <mergeCell ref="F3:J3"/>
    <mergeCell ref="F4:F5"/>
    <mergeCell ref="G4:J4"/>
    <mergeCell ref="A6:A13"/>
    <mergeCell ref="B6:B10"/>
    <mergeCell ref="C6:D6"/>
    <mergeCell ref="G7:G10"/>
    <mergeCell ref="H7:H10"/>
    <mergeCell ref="I7:I10"/>
    <mergeCell ref="J7:J10"/>
    <mergeCell ref="B11:B13"/>
    <mergeCell ref="C11:D11"/>
    <mergeCell ref="G12:G13"/>
    <mergeCell ref="H12:H13"/>
    <mergeCell ref="I12:I13"/>
    <mergeCell ref="J12:J13"/>
    <mergeCell ref="I20:I22"/>
    <mergeCell ref="A14:D16"/>
    <mergeCell ref="E14:J14"/>
    <mergeCell ref="E15:E16"/>
    <mergeCell ref="F15:F16"/>
    <mergeCell ref="G15:J15"/>
    <mergeCell ref="A17:A18"/>
    <mergeCell ref="J20:J22"/>
    <mergeCell ref="A23:D25"/>
    <mergeCell ref="E23:J23"/>
    <mergeCell ref="E24:E25"/>
    <mergeCell ref="F24:F25"/>
    <mergeCell ref="G24:J24"/>
    <mergeCell ref="A19:A22"/>
    <mergeCell ref="D19:D20"/>
    <mergeCell ref="B20:B22"/>
    <mergeCell ref="G20:G22"/>
    <mergeCell ref="H20:H22"/>
    <mergeCell ref="A26:A28"/>
    <mergeCell ref="B26:B28"/>
    <mergeCell ref="G26:G31"/>
    <mergeCell ref="H26:H31"/>
    <mergeCell ref="I26:I31"/>
    <mergeCell ref="J26:J31"/>
    <mergeCell ref="A29:A35"/>
    <mergeCell ref="B29:B31"/>
    <mergeCell ref="B32:B33"/>
    <mergeCell ref="D32:D33"/>
    <mergeCell ref="G32:G33"/>
    <mergeCell ref="H32:H33"/>
    <mergeCell ref="I32:I33"/>
    <mergeCell ref="J32:J33"/>
    <mergeCell ref="B34:B35"/>
    <mergeCell ref="G34:G35"/>
    <mergeCell ref="H34:H35"/>
    <mergeCell ref="I34:I35"/>
    <mergeCell ref="J34:J35"/>
    <mergeCell ref="A37:D39"/>
    <mergeCell ref="E37:J37"/>
    <mergeCell ref="E38:E39"/>
    <mergeCell ref="F38:F39"/>
    <mergeCell ref="G38:J38"/>
    <mergeCell ref="B40:B44"/>
    <mergeCell ref="H40:H44"/>
    <mergeCell ref="I40:I44"/>
    <mergeCell ref="J40:J44"/>
    <mergeCell ref="E42:F42"/>
    <mergeCell ref="E43:F43"/>
    <mergeCell ref="E44:F44"/>
    <mergeCell ref="A45:A53"/>
    <mergeCell ref="B45:B53"/>
    <mergeCell ref="H45:H53"/>
    <mergeCell ref="J45:J53"/>
    <mergeCell ref="I50:I53"/>
    <mergeCell ref="A40:A44"/>
    <mergeCell ref="I45:I49"/>
    <mergeCell ref="E48:F48"/>
    <mergeCell ref="D65:H65"/>
    <mergeCell ref="C58:E58"/>
    <mergeCell ref="G58:J58"/>
    <mergeCell ref="A60:J60"/>
    <mergeCell ref="A61:J61"/>
    <mergeCell ref="E53:F53"/>
    <mergeCell ref="E49:F49"/>
    <mergeCell ref="A55:F55"/>
    <mergeCell ref="A56:C56"/>
    <mergeCell ref="C57:E57"/>
    <mergeCell ref="G57:J57"/>
    <mergeCell ref="D64:H64"/>
  </mergeCells>
  <printOptions horizontalCentered="1"/>
  <pageMargins left="0.2362204724409449" right="0.2362204724409449" top="0.7480314960629921" bottom="0.35433070866141736" header="0.31496062992125984" footer="0"/>
  <pageSetup horizontalDpi="600" verticalDpi="600" orientation="landscape" paperSize="9" scale="66" r:id="rId2"/>
  <headerFooter>
    <oddFooter>&amp;C&amp;P</oddFooter>
  </headerFooter>
  <rowBreaks count="3" manualBreakCount="3">
    <brk id="13" max="9" man="1"/>
    <brk id="22" max="9" man="1"/>
    <brk id="3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8.8515625" defaultRowHeight="15"/>
  <cols>
    <col min="1" max="1" width="7.421875" style="54" customWidth="1"/>
    <col min="2" max="2" width="5.7109375" style="55" customWidth="1"/>
    <col min="3" max="3" width="29.421875" style="2" customWidth="1"/>
    <col min="4" max="4" width="18.00390625" style="4" bestFit="1" customWidth="1"/>
    <col min="5" max="5" width="15.8515625" style="39" bestFit="1" customWidth="1"/>
    <col min="6" max="6" width="14.28125" style="4" bestFit="1" customWidth="1"/>
    <col min="7" max="7" width="16.8515625" style="4" bestFit="1" customWidth="1"/>
    <col min="8" max="8" width="15.8515625" style="4" bestFit="1" customWidth="1"/>
    <col min="9" max="9" width="14.28125" style="4" bestFit="1" customWidth="1"/>
    <col min="10" max="10" width="16.8515625" style="4" bestFit="1" customWidth="1"/>
    <col min="11" max="11" width="15.8515625" style="4" bestFit="1" customWidth="1"/>
    <col min="12" max="12" width="14.28125" style="4" bestFit="1" customWidth="1"/>
    <col min="13" max="13" width="16.8515625" style="4" bestFit="1" customWidth="1"/>
    <col min="14" max="14" width="15.8515625" style="4" bestFit="1" customWidth="1"/>
    <col min="15" max="15" width="14.28125" style="4" bestFit="1" customWidth="1"/>
    <col min="16" max="16" width="16.8515625" style="4" bestFit="1" customWidth="1"/>
    <col min="17" max="17" width="15.8515625" style="4" bestFit="1" customWidth="1"/>
    <col min="18" max="18" width="14.28125" style="4" bestFit="1" customWidth="1"/>
    <col min="19" max="19" width="16.8515625" style="4" bestFit="1" customWidth="1"/>
    <col min="20" max="20" width="15.8515625" style="4" bestFit="1" customWidth="1"/>
    <col min="21" max="21" width="13.7109375" style="4" customWidth="1"/>
    <col min="22" max="22" width="16.8515625" style="4" bestFit="1" customWidth="1"/>
    <col min="23" max="23" width="15.8515625" style="4" bestFit="1" customWidth="1"/>
    <col min="24" max="24" width="12.7109375" style="4" customWidth="1"/>
    <col min="25" max="25" width="16.8515625" style="4" bestFit="1" customWidth="1"/>
    <col min="26" max="26" width="15.8515625" style="4" bestFit="1" customWidth="1"/>
    <col min="27" max="27" width="13.57421875" style="4" customWidth="1"/>
    <col min="28" max="28" width="16.8515625" style="4" bestFit="1" customWidth="1"/>
    <col min="29" max="29" width="15.8515625" style="4" bestFit="1" customWidth="1"/>
    <col min="30" max="30" width="13.7109375" style="4" customWidth="1"/>
    <col min="31" max="31" width="16.8515625" style="4" bestFit="1" customWidth="1"/>
    <col min="32" max="32" width="15.8515625" style="4" bestFit="1" customWidth="1"/>
    <col min="33" max="33" width="13.421875" style="4" customWidth="1"/>
    <col min="34" max="34" width="16.8515625" style="4" bestFit="1" customWidth="1"/>
    <col min="35" max="35" width="15.8515625" style="4" bestFit="1" customWidth="1"/>
    <col min="36" max="36" width="14.28125" style="4" bestFit="1" customWidth="1"/>
    <col min="37" max="37" width="16.8515625" style="4" bestFit="1" customWidth="1"/>
    <col min="38" max="38" width="15.8515625" style="4" bestFit="1" customWidth="1"/>
    <col min="39" max="39" width="13.8515625" style="4" customWidth="1"/>
    <col min="40" max="40" width="18.00390625" style="4" bestFit="1" customWidth="1"/>
    <col min="41" max="41" width="16.8515625" style="4" bestFit="1" customWidth="1"/>
    <col min="42" max="42" width="16.140625" style="4" customWidth="1"/>
    <col min="43" max="43" width="19.8515625" style="4" customWidth="1"/>
    <col min="44" max="44" width="6.00390625" style="4" customWidth="1"/>
    <col min="45" max="45" width="17.421875" style="4" bestFit="1" customWidth="1"/>
    <col min="46" max="46" width="16.28125" style="4" bestFit="1" customWidth="1"/>
    <col min="47" max="47" width="15.7109375" style="4" customWidth="1"/>
    <col min="48" max="48" width="15.00390625" style="4" bestFit="1" customWidth="1"/>
    <col min="49" max="49" width="17.00390625" style="4" bestFit="1" customWidth="1"/>
    <col min="50" max="51" width="8.8515625" style="4" customWidth="1"/>
    <col min="52" max="52" width="17.00390625" style="4" bestFit="1" customWidth="1"/>
    <col min="53" max="53" width="16.8515625" style="4" bestFit="1" customWidth="1"/>
    <col min="54" max="54" width="16.8515625" style="4" customWidth="1"/>
    <col min="55" max="55" width="11.00390625" style="4" bestFit="1" customWidth="1"/>
    <col min="56" max="16384" width="8.8515625" style="4" customWidth="1"/>
  </cols>
  <sheetData>
    <row r="1" spans="4:34" ht="24.75" customHeight="1">
      <c r="D1" s="4" t="s">
        <v>154</v>
      </c>
      <c r="E1" s="4" t="s">
        <v>155</v>
      </c>
      <c r="F1" s="4" t="s">
        <v>156</v>
      </c>
      <c r="G1" s="4" t="s">
        <v>157</v>
      </c>
      <c r="H1" s="4" t="s">
        <v>158</v>
      </c>
      <c r="I1" s="4" t="s">
        <v>159</v>
      </c>
      <c r="J1" s="4" t="s">
        <v>160</v>
      </c>
      <c r="K1" s="4" t="s">
        <v>161</v>
      </c>
      <c r="L1" s="4" t="s">
        <v>162</v>
      </c>
      <c r="M1" s="4" t="s">
        <v>163</v>
      </c>
      <c r="N1" s="4" t="s">
        <v>164</v>
      </c>
      <c r="O1" s="4" t="s">
        <v>165</v>
      </c>
      <c r="AE1" s="4" t="s">
        <v>162</v>
      </c>
      <c r="AF1" s="4" t="s">
        <v>163</v>
      </c>
      <c r="AG1" s="4" t="s">
        <v>164</v>
      </c>
      <c r="AH1" s="4" t="s">
        <v>165</v>
      </c>
    </row>
    <row r="2" spans="4:39" ht="30.75" customHeight="1">
      <c r="D2" s="83">
        <f>D3-D7</f>
        <v>-295322</v>
      </c>
      <c r="E2" s="83">
        <f aca="true" t="shared" si="0" ref="E2:AM2">E3-E7</f>
        <v>0</v>
      </c>
      <c r="F2" s="83">
        <f t="shared" si="0"/>
        <v>0</v>
      </c>
      <c r="G2" s="83">
        <f t="shared" si="0"/>
        <v>-300322</v>
      </c>
      <c r="H2" s="83">
        <f t="shared" si="0"/>
        <v>0</v>
      </c>
      <c r="I2" s="83">
        <f t="shared" si="0"/>
        <v>0</v>
      </c>
      <c r="J2" s="83">
        <f t="shared" si="0"/>
        <v>-300321.99999999814</v>
      </c>
      <c r="K2" s="83">
        <f t="shared" si="0"/>
        <v>0</v>
      </c>
      <c r="L2" s="83">
        <f t="shared" si="0"/>
        <v>0</v>
      </c>
      <c r="M2" s="83">
        <f t="shared" si="0"/>
        <v>-265322</v>
      </c>
      <c r="N2" s="83">
        <f t="shared" si="0"/>
        <v>0</v>
      </c>
      <c r="O2" s="83">
        <f t="shared" si="0"/>
        <v>0</v>
      </c>
      <c r="P2" s="83">
        <f t="shared" si="0"/>
        <v>-265322</v>
      </c>
      <c r="Q2" s="83">
        <f t="shared" si="0"/>
        <v>0</v>
      </c>
      <c r="R2" s="83">
        <f t="shared" si="0"/>
        <v>0</v>
      </c>
      <c r="S2" s="83">
        <f t="shared" si="0"/>
        <v>-265322.00000000186</v>
      </c>
      <c r="T2" s="83">
        <f t="shared" si="0"/>
        <v>0</v>
      </c>
      <c r="U2" s="83">
        <f t="shared" si="0"/>
        <v>0</v>
      </c>
      <c r="V2" s="83">
        <f t="shared" si="0"/>
        <v>-134447.99999999907</v>
      </c>
      <c r="W2" s="83">
        <f t="shared" si="0"/>
        <v>0</v>
      </c>
      <c r="X2" s="83">
        <f t="shared" si="0"/>
        <v>0</v>
      </c>
      <c r="Y2" s="83">
        <f t="shared" si="0"/>
        <v>-134448</v>
      </c>
      <c r="Z2" s="83">
        <f t="shared" si="0"/>
        <v>0</v>
      </c>
      <c r="AA2" s="83">
        <f t="shared" si="0"/>
        <v>0</v>
      </c>
      <c r="AB2" s="83">
        <f t="shared" si="0"/>
        <v>-134448</v>
      </c>
      <c r="AC2" s="83">
        <f t="shared" si="0"/>
        <v>382.12000000011176</v>
      </c>
      <c r="AD2" s="83">
        <f t="shared" si="0"/>
        <v>0</v>
      </c>
      <c r="AE2" s="83">
        <f t="shared" si="0"/>
        <v>-134448</v>
      </c>
      <c r="AF2" s="83">
        <f t="shared" si="0"/>
        <v>0</v>
      </c>
      <c r="AG2" s="83">
        <f t="shared" si="0"/>
        <v>0</v>
      </c>
      <c r="AH2" s="83">
        <f t="shared" si="0"/>
        <v>-134448</v>
      </c>
      <c r="AI2" s="83">
        <f>AI3-AI7</f>
        <v>0</v>
      </c>
      <c r="AJ2" s="83">
        <f t="shared" si="0"/>
        <v>0</v>
      </c>
      <c r="AK2" s="83">
        <f t="shared" si="0"/>
        <v>-134448</v>
      </c>
      <c r="AL2" s="83">
        <f t="shared" si="0"/>
        <v>0</v>
      </c>
      <c r="AM2" s="83">
        <f t="shared" si="0"/>
        <v>0</v>
      </c>
    </row>
    <row r="3" spans="1:45" s="74" customFormat="1" ht="42" customHeight="1" thickBot="1">
      <c r="A3" s="84"/>
      <c r="B3" s="85"/>
      <c r="C3" s="86"/>
      <c r="D3" s="87">
        <v>9704573.816921214</v>
      </c>
      <c r="E3" s="87">
        <v>3459165.7869989704</v>
      </c>
      <c r="F3" s="74">
        <v>607000</v>
      </c>
      <c r="G3" s="74">
        <v>12601530.229633335</v>
      </c>
      <c r="H3" s="74">
        <v>3500753.207298971</v>
      </c>
      <c r="I3" s="74">
        <v>12000</v>
      </c>
      <c r="J3" s="74">
        <v>12073799.799633335</v>
      </c>
      <c r="K3" s="74">
        <v>3460386.2469989704</v>
      </c>
      <c r="L3" s="74">
        <v>60500</v>
      </c>
      <c r="M3" s="88">
        <v>13434027.6163</v>
      </c>
      <c r="N3" s="74">
        <v>3457876.79699897</v>
      </c>
      <c r="O3" s="74">
        <v>0</v>
      </c>
      <c r="P3" s="88">
        <v>9590289.303091668</v>
      </c>
      <c r="Q3" s="74">
        <v>3457876.79699897</v>
      </c>
      <c r="R3" s="74">
        <v>0</v>
      </c>
      <c r="S3" s="88">
        <v>9694401.106591666</v>
      </c>
      <c r="T3" s="74">
        <v>3528534.065258939</v>
      </c>
      <c r="U3" s="74">
        <v>0</v>
      </c>
      <c r="V3" s="88">
        <v>8290946.977425001</v>
      </c>
      <c r="W3" s="74">
        <v>3462348.2145183175</v>
      </c>
      <c r="X3" s="74">
        <v>0</v>
      </c>
      <c r="Y3" s="88">
        <v>7406383.417924999</v>
      </c>
      <c r="Z3" s="74">
        <v>3459490.623458349</v>
      </c>
      <c r="AA3" s="74">
        <v>0</v>
      </c>
      <c r="AB3" s="88">
        <v>8203074.201258333</v>
      </c>
      <c r="AC3" s="74">
        <v>3544389.679018889</v>
      </c>
      <c r="AD3" s="74">
        <v>0</v>
      </c>
      <c r="AE3" s="74">
        <v>7845979.991258333</v>
      </c>
      <c r="AF3" s="74">
        <v>3545731.1052668886</v>
      </c>
      <c r="AG3" s="74">
        <v>150000</v>
      </c>
      <c r="AH3" s="88">
        <v>8076567.811758333</v>
      </c>
      <c r="AI3" s="74">
        <v>3545731.1052668886</v>
      </c>
      <c r="AJ3" s="74">
        <v>150000</v>
      </c>
      <c r="AK3" s="88">
        <v>7572724.578425</v>
      </c>
      <c r="AL3" s="74">
        <v>3645731.1052668886</v>
      </c>
      <c r="AM3" s="74">
        <v>150000</v>
      </c>
      <c r="AQ3" s="74">
        <f>AN27+AN28+AN32+AN33+AN29+AN35</f>
        <v>64501418</v>
      </c>
      <c r="AS3" s="74">
        <v>62102798</v>
      </c>
    </row>
    <row r="4" spans="1:46" ht="23.25" customHeight="1" thickBot="1" thickTop="1">
      <c r="A4" s="241" t="s">
        <v>0</v>
      </c>
      <c r="B4" s="242"/>
      <c r="C4" s="243"/>
      <c r="D4" s="247" t="s">
        <v>47</v>
      </c>
      <c r="E4" s="247"/>
      <c r="F4" s="247"/>
      <c r="G4" s="247"/>
      <c r="H4" s="247"/>
      <c r="I4" s="247"/>
      <c r="J4" s="247"/>
      <c r="K4" s="247"/>
      <c r="L4" s="248"/>
      <c r="M4" s="247" t="s">
        <v>47</v>
      </c>
      <c r="N4" s="247"/>
      <c r="O4" s="247"/>
      <c r="P4" s="247"/>
      <c r="Q4" s="247"/>
      <c r="R4" s="247"/>
      <c r="S4" s="247"/>
      <c r="T4" s="247"/>
      <c r="U4" s="248"/>
      <c r="V4" s="247" t="s">
        <v>47</v>
      </c>
      <c r="W4" s="247"/>
      <c r="X4" s="247"/>
      <c r="Y4" s="247"/>
      <c r="Z4" s="247"/>
      <c r="AA4" s="247"/>
      <c r="AB4" s="247"/>
      <c r="AC4" s="247"/>
      <c r="AD4" s="248"/>
      <c r="AE4" s="247" t="s">
        <v>47</v>
      </c>
      <c r="AF4" s="247"/>
      <c r="AG4" s="247"/>
      <c r="AH4" s="247"/>
      <c r="AI4" s="247"/>
      <c r="AJ4" s="247"/>
      <c r="AK4" s="247"/>
      <c r="AL4" s="247"/>
      <c r="AM4" s="248"/>
      <c r="AN4" s="294"/>
      <c r="AO4" s="295"/>
      <c r="AP4" s="295"/>
      <c r="AQ4" s="296"/>
      <c r="AT4" s="83" t="e">
        <f>#REF!-436864.24</f>
        <v>#REF!</v>
      </c>
    </row>
    <row r="5" spans="1:43" ht="15" customHeight="1" thickBot="1" thickTop="1">
      <c r="A5" s="244"/>
      <c r="B5" s="245"/>
      <c r="C5" s="246"/>
      <c r="D5" s="249" t="s">
        <v>48</v>
      </c>
      <c r="E5" s="247"/>
      <c r="F5" s="248"/>
      <c r="G5" s="249" t="s">
        <v>49</v>
      </c>
      <c r="H5" s="247"/>
      <c r="I5" s="248"/>
      <c r="J5" s="249" t="s">
        <v>50</v>
      </c>
      <c r="K5" s="247"/>
      <c r="L5" s="248"/>
      <c r="M5" s="249" t="s">
        <v>57</v>
      </c>
      <c r="N5" s="247"/>
      <c r="O5" s="248"/>
      <c r="P5" s="249" t="s">
        <v>58</v>
      </c>
      <c r="Q5" s="247"/>
      <c r="R5" s="248"/>
      <c r="S5" s="249" t="s">
        <v>59</v>
      </c>
      <c r="T5" s="247"/>
      <c r="U5" s="248"/>
      <c r="V5" s="249" t="s">
        <v>60</v>
      </c>
      <c r="W5" s="247"/>
      <c r="X5" s="248"/>
      <c r="Y5" s="249" t="s">
        <v>61</v>
      </c>
      <c r="Z5" s="247"/>
      <c r="AA5" s="248"/>
      <c r="AB5" s="249" t="s">
        <v>62</v>
      </c>
      <c r="AC5" s="247"/>
      <c r="AD5" s="248"/>
      <c r="AE5" s="249" t="s">
        <v>63</v>
      </c>
      <c r="AF5" s="247"/>
      <c r="AG5" s="248"/>
      <c r="AH5" s="249" t="s">
        <v>64</v>
      </c>
      <c r="AI5" s="247"/>
      <c r="AJ5" s="248"/>
      <c r="AK5" s="249" t="s">
        <v>65</v>
      </c>
      <c r="AL5" s="247"/>
      <c r="AM5" s="248"/>
      <c r="AN5" s="249" t="s">
        <v>56</v>
      </c>
      <c r="AO5" s="247"/>
      <c r="AP5" s="247"/>
      <c r="AQ5" s="248"/>
    </row>
    <row r="6" spans="1:49" ht="24.75" customHeight="1" thickBot="1" thickTop="1">
      <c r="A6" s="244"/>
      <c r="B6" s="245"/>
      <c r="C6" s="246"/>
      <c r="D6" s="51" t="s">
        <v>52</v>
      </c>
      <c r="E6" s="52" t="s">
        <v>51</v>
      </c>
      <c r="F6" s="53" t="s">
        <v>54</v>
      </c>
      <c r="G6" s="51" t="s">
        <v>52</v>
      </c>
      <c r="H6" s="52" t="s">
        <v>51</v>
      </c>
      <c r="I6" s="53" t="s">
        <v>54</v>
      </c>
      <c r="J6" s="51" t="s">
        <v>52</v>
      </c>
      <c r="K6" s="52" t="s">
        <v>51</v>
      </c>
      <c r="L6" s="53" t="s">
        <v>54</v>
      </c>
      <c r="M6" s="51" t="s">
        <v>52</v>
      </c>
      <c r="N6" s="52" t="s">
        <v>51</v>
      </c>
      <c r="O6" s="53" t="s">
        <v>54</v>
      </c>
      <c r="P6" s="51" t="s">
        <v>52</v>
      </c>
      <c r="Q6" s="52" t="s">
        <v>51</v>
      </c>
      <c r="R6" s="53" t="s">
        <v>54</v>
      </c>
      <c r="S6" s="51" t="s">
        <v>52</v>
      </c>
      <c r="T6" s="52" t="s">
        <v>51</v>
      </c>
      <c r="U6" s="53" t="s">
        <v>54</v>
      </c>
      <c r="V6" s="51" t="s">
        <v>52</v>
      </c>
      <c r="W6" s="52" t="s">
        <v>51</v>
      </c>
      <c r="X6" s="53" t="s">
        <v>54</v>
      </c>
      <c r="Y6" s="51" t="s">
        <v>52</v>
      </c>
      <c r="Z6" s="52" t="s">
        <v>51</v>
      </c>
      <c r="AA6" s="53" t="s">
        <v>54</v>
      </c>
      <c r="AB6" s="51" t="s">
        <v>52</v>
      </c>
      <c r="AC6" s="52" t="s">
        <v>51</v>
      </c>
      <c r="AD6" s="53" t="s">
        <v>54</v>
      </c>
      <c r="AE6" s="51" t="s">
        <v>52</v>
      </c>
      <c r="AF6" s="52" t="s">
        <v>51</v>
      </c>
      <c r="AG6" s="53" t="s">
        <v>54</v>
      </c>
      <c r="AH6" s="51" t="s">
        <v>52</v>
      </c>
      <c r="AI6" s="52" t="s">
        <v>51</v>
      </c>
      <c r="AJ6" s="53" t="s">
        <v>54</v>
      </c>
      <c r="AK6" s="51" t="s">
        <v>52</v>
      </c>
      <c r="AL6" s="52" t="s">
        <v>51</v>
      </c>
      <c r="AM6" s="53" t="s">
        <v>54</v>
      </c>
      <c r="AN6" s="63" t="s">
        <v>52</v>
      </c>
      <c r="AO6" s="64" t="s">
        <v>51</v>
      </c>
      <c r="AP6" s="65" t="s">
        <v>54</v>
      </c>
      <c r="AQ6" s="67" t="s">
        <v>56</v>
      </c>
      <c r="AS6" s="63" t="s">
        <v>52</v>
      </c>
      <c r="AT6" s="64" t="s">
        <v>51</v>
      </c>
      <c r="AU6" s="63" t="s">
        <v>53</v>
      </c>
      <c r="AV6" s="65" t="s">
        <v>54</v>
      </c>
      <c r="AW6" s="67" t="s">
        <v>56</v>
      </c>
    </row>
    <row r="7" spans="1:43" ht="19.5" customHeight="1" thickBot="1" thickTop="1">
      <c r="A7" s="244"/>
      <c r="B7" s="245"/>
      <c r="C7" s="246"/>
      <c r="D7" s="5">
        <f>D8+D9+D10+D11+D12+D13+D14+D19+D15+D17+D20+D26+D31+D36</f>
        <v>9999895.816921214</v>
      </c>
      <c r="E7" s="6">
        <f>E8+E9+E10+E11+E12+E13+E14+E19+E20+E26+E36</f>
        <v>3459165.7869989704</v>
      </c>
      <c r="F7" s="6">
        <f>F8+F9+F10+F11+F12+F13+F14+F19+F20+F26+F36</f>
        <v>607000</v>
      </c>
      <c r="G7" s="5">
        <f>G8+G9+G10+G11+G12+G13+G14+G19+G15+G17+G20+G26+G31+G36</f>
        <v>12901852.229633335</v>
      </c>
      <c r="H7" s="6">
        <f>H8+H9+H10+H11+H12+H13+H14+H19+H20+H26+H36+H15</f>
        <v>3500753.2072989703</v>
      </c>
      <c r="I7" s="6">
        <f>I8+I9+I10+I11+I12+I13+I14+I19+I20+I26+I36</f>
        <v>12000</v>
      </c>
      <c r="J7" s="5">
        <f>J8+J9+J10+J11+J12+J13+J14+J19+J15+J17+J20+J26+J31+J36</f>
        <v>12374121.799633333</v>
      </c>
      <c r="K7" s="6">
        <f>K8+K9+K10+K11+K12+K13+K14+K19+K20+K26+K36</f>
        <v>3460386.2469989704</v>
      </c>
      <c r="L7" s="6">
        <f>L8+L9+L10+L11+L12+L13+L14+L19+L20+L26+L36</f>
        <v>60500</v>
      </c>
      <c r="M7" s="5">
        <f>M8+M9+M10+M11+M12+M13+M14+M19+M15+M17+M20+M26+M31+M36</f>
        <v>13699349.6163</v>
      </c>
      <c r="N7" s="6">
        <f>N8+N9+N10+N11+N12+N13+N14+N19+N20+N26+N36</f>
        <v>3457876.79699897</v>
      </c>
      <c r="O7" s="6">
        <f>O8+O9+O10+O11+O12+O13+O14+O19+O20+O26+O36</f>
        <v>0</v>
      </c>
      <c r="P7" s="5">
        <f>P8+P9+P10+P11+P12+P13+P14+P19+P15+P17+P20+P26+P31+P36</f>
        <v>9855611.303091668</v>
      </c>
      <c r="Q7" s="6">
        <f>Q8+Q9+Q10+Q11+Q12+Q13+Q14+Q19+Q20+Q26+Q36</f>
        <v>3457876.79699897</v>
      </c>
      <c r="R7" s="6">
        <f>R8+R9+R10+R11+R12+R13+R14+R19+R20+R26+R36</f>
        <v>0</v>
      </c>
      <c r="S7" s="5">
        <f>S8+S9+S10+S11+S12+S13+S14+S19+S15+S17+S20+S26+S31+S36</f>
        <v>9959723.106591668</v>
      </c>
      <c r="T7" s="6">
        <f>T8+T9+T10+T11+T12+T13+T14+T19+T20+T26+T36+T17</f>
        <v>3528534.065258939</v>
      </c>
      <c r="U7" s="6">
        <f>U8+U9+U10+U11+U12+U13+U14+U19+U20+U26+U36</f>
        <v>0</v>
      </c>
      <c r="V7" s="5">
        <f>V8+V9+V10+V11+V12+V13+V14+V19+V15+V17+V20+V26+V31+V36</f>
        <v>8425394.977425</v>
      </c>
      <c r="W7" s="6">
        <f>W8+W9+W10+W11+W12+W13+W14+W19+W20+W26+W36</f>
        <v>3462348.214518318</v>
      </c>
      <c r="X7" s="6">
        <f>X8+X9+X10+X11+X12+X13+X14+X19+X20+X26+X36</f>
        <v>0</v>
      </c>
      <c r="Y7" s="5">
        <f>Y8+Y9+Y10+Y11+Y12+Y13+Y14+Y19+Y15+Y17+Y20+Y26+Y31+Y36</f>
        <v>7540831.417924999</v>
      </c>
      <c r="Z7" s="6">
        <f>Z8+Z9+Z10+Z11+Z12+Z13+Z14+Z19+Z20+Z26+Z36</f>
        <v>3459490.623458349</v>
      </c>
      <c r="AA7" s="6">
        <f>AA8+AA9+AA10+AA11+AA12+AA13+AA14+AA19+AA20+AA26+AA36</f>
        <v>0</v>
      </c>
      <c r="AB7" s="5">
        <f>AB8+AB9+AB10+AB11+AB12+AB13+AB14+AB19+AB15+AB17+AB20+AB26+AB31+AB36</f>
        <v>8337522.201258333</v>
      </c>
      <c r="AC7" s="6">
        <f>AC8+AC9+AC10+AC11+AC12+AC13+AC14+AC19+AC20+AC26+AC36</f>
        <v>3544007.559018889</v>
      </c>
      <c r="AD7" s="6">
        <f>AD8+AD9+AD10+AD11+AD12+AD13+AD14+AD19+AD20+AD26+AD36</f>
        <v>0</v>
      </c>
      <c r="AE7" s="5">
        <f>AE8+AE9+AE10+AE11+AE12+AE13+AE14+AE19+AE15+AE17+AE20+AE26+AE31+AE36</f>
        <v>7980427.991258333</v>
      </c>
      <c r="AF7" s="6">
        <f>AF8+AF9+AF10+AF11+AF12+AF13+AF14+AF19+AF20+AF26+AF36</f>
        <v>3545731.1052668886</v>
      </c>
      <c r="AG7" s="6">
        <f>AG8+AG9+AG10+AG11+AG12+AG13+AG14+AG19+AG20+AG26+AG36</f>
        <v>150000</v>
      </c>
      <c r="AH7" s="5">
        <f>AH8+AH9+AH10+AH11+AH12+AH13+AH14+AH19+AH15+AH17+AH20+AH26+AH31+AH36</f>
        <v>8211015.811758333</v>
      </c>
      <c r="AI7" s="6">
        <f>AI8+AI9+AI10+AI11+AI12+AI13+AI14+AI19+AI20+AI26+AI36+AI15</f>
        <v>3545731.1052668886</v>
      </c>
      <c r="AJ7" s="6">
        <f>AJ8+AJ9+AJ10+AJ11+AJ12+AJ13+AJ14+AJ19+AJ20+AJ26+AJ36</f>
        <v>150000</v>
      </c>
      <c r="AK7" s="5">
        <f>AK8+AK9+AK10+AK11+AK12+AK13+AK14+AK19+AK15+AK17+AK20+AK26+AK31+AK36</f>
        <v>7707172.578425</v>
      </c>
      <c r="AL7" s="6">
        <f>AL8+AL9+AL10+AL11+AL12+AL13+AL14+AL19+AL20+AL26+AL36+AL15</f>
        <v>3645731.1052668886</v>
      </c>
      <c r="AM7" s="6">
        <f>AM8+AM9+AM10+AM11+AM12+AM13+AM14+AM19+AM20+AM26+AM36</f>
        <v>150000</v>
      </c>
      <c r="AN7" s="5">
        <f>AN8+AN9+AN10+AN11+AN12+AN13+AN14+AN19+AN15+AN17+AN20+AN26+AN31+AN36</f>
        <v>116992918.8502212</v>
      </c>
      <c r="AO7" s="6">
        <f>AO8+AO9+AO10+AO11+AO12+AO13+AO14+AO19+AO20+AO26+AO36</f>
        <v>41897632.61335001</v>
      </c>
      <c r="AP7" s="6">
        <f>AP8+AP9+AP10+AP11+AP12+AP13+AP14+AP19+AP20+AP26+AP36</f>
        <v>1129500</v>
      </c>
      <c r="AQ7" s="68">
        <f>AQ8+AQ9+AQ10+AQ11+AQ12+AQ13+AQ14+AQ19+AQ20+AQ26+AQ36+AQ15+AQ17+AQ18</f>
        <v>160190051.46357122</v>
      </c>
    </row>
    <row r="8" spans="1:55" ht="35.25" customHeight="1" thickBot="1" thickTop="1">
      <c r="A8" s="250" t="s">
        <v>14</v>
      </c>
      <c r="B8" s="97" t="s">
        <v>7</v>
      </c>
      <c r="C8" s="7"/>
      <c r="D8" s="93">
        <f>Planilha1!F10</f>
        <v>276419.4413333334</v>
      </c>
      <c r="E8" s="92">
        <f>Planilha2!E8</f>
        <v>443520.81776560197</v>
      </c>
      <c r="F8" s="93"/>
      <c r="G8" s="94">
        <f>Planilha1!G10</f>
        <v>270230.9713333333</v>
      </c>
      <c r="H8" s="94">
        <f>Planilha2!F8</f>
        <v>443520.81776560197</v>
      </c>
      <c r="I8" s="94"/>
      <c r="J8" s="92">
        <f>Planilha1!H10</f>
        <v>269030.9713333333</v>
      </c>
      <c r="K8" s="92">
        <f>Planilha2!G8</f>
        <v>443520.81776560197</v>
      </c>
      <c r="L8" s="92"/>
      <c r="M8" s="93">
        <f>Planilha1!I10</f>
        <v>269190.9713333333</v>
      </c>
      <c r="N8" s="92">
        <f>Planilha2!H8</f>
        <v>443520.81776560197</v>
      </c>
      <c r="O8" s="104"/>
      <c r="P8" s="94">
        <f>Planilha1!J10</f>
        <v>268838.5613333333</v>
      </c>
      <c r="Q8" s="94">
        <f>Planilha2!I8</f>
        <v>443520.81776560197</v>
      </c>
      <c r="R8" s="94"/>
      <c r="S8" s="92">
        <f>Planilha1!K10</f>
        <v>268838.5613333333</v>
      </c>
      <c r="T8" s="92">
        <f>Planilha2!J8</f>
        <v>444199.25496560195</v>
      </c>
      <c r="U8" s="92"/>
      <c r="V8" s="93">
        <f>Planilha1!L10</f>
        <v>268998.5613333333</v>
      </c>
      <c r="W8" s="92">
        <f>Planilha2!K8</f>
        <v>444516.18124076445</v>
      </c>
      <c r="X8" s="104"/>
      <c r="Y8" s="102">
        <f>Planilha1!M10</f>
        <v>268838.5613333333</v>
      </c>
      <c r="Z8" s="102">
        <f>Planilha2!L8</f>
        <v>444516.18124076445</v>
      </c>
      <c r="AA8" s="102"/>
      <c r="AB8" s="8">
        <f>Planilha1!N10</f>
        <v>385505.228</v>
      </c>
      <c r="AC8" s="8">
        <f>Planilha2!M8</f>
        <v>457120.81292285863</v>
      </c>
      <c r="AD8" s="8"/>
      <c r="AE8" s="103">
        <f>Planilha1!O10</f>
        <v>387665.228</v>
      </c>
      <c r="AF8" s="8">
        <f>Planilha2!N8</f>
        <v>457419.27600285853</v>
      </c>
      <c r="AG8" s="9"/>
      <c r="AH8" s="102">
        <f>Planilha1!P10</f>
        <v>368768.94800000003</v>
      </c>
      <c r="AI8" s="102">
        <f>Planilha2!O8</f>
        <v>457419.27600285853</v>
      </c>
      <c r="AJ8" s="102"/>
      <c r="AK8" s="8">
        <f>Planilha1!Q10</f>
        <v>240312.78133333335</v>
      </c>
      <c r="AL8" s="8">
        <f>Planilha2!P8</f>
        <v>457419.27600285853</v>
      </c>
      <c r="AM8" s="8"/>
      <c r="AN8" s="8">
        <f>AK8+AH8+AE8+AB8+Y8+V8+S8+P8+M8+J8+G8+D8</f>
        <v>3542638.786</v>
      </c>
      <c r="AO8" s="8">
        <f>AL8+AI8+AF8+AC8+Z8+W8+T8+Q8+N8+K8+H8+E8</f>
        <v>5380214.347206575</v>
      </c>
      <c r="AP8" s="8">
        <f>AM8+AJ8+AG8+AD8+AA8+X8+U8+R8+O8+L8+I8+F8</f>
        <v>0</v>
      </c>
      <c r="AQ8" s="106">
        <f aca="true" t="shared" si="1" ref="AQ8:AQ14">AP8+AO8+AN8</f>
        <v>8922853.133206574</v>
      </c>
      <c r="AS8" s="8">
        <v>3542638.7860000003</v>
      </c>
      <c r="AT8" s="8">
        <v>5380214.347206575</v>
      </c>
      <c r="AU8" s="8"/>
      <c r="AV8" s="8"/>
      <c r="AW8" s="106">
        <f aca="true" t="shared" si="2" ref="AW8:AW14">SUM(AS8:AV8)</f>
        <v>8922853.133206576</v>
      </c>
      <c r="AZ8"/>
      <c r="BA8"/>
      <c r="BB8"/>
      <c r="BC8"/>
    </row>
    <row r="9" spans="1:55" ht="30.75" customHeight="1" thickBot="1" thickTop="1">
      <c r="A9" s="251"/>
      <c r="B9" s="98" t="s">
        <v>8</v>
      </c>
      <c r="C9" s="14"/>
      <c r="D9" s="93">
        <f>Planilha1!F11</f>
        <v>165200.99748333334</v>
      </c>
      <c r="E9" s="92">
        <f>Planilha2!E9</f>
        <v>167839.2032819301</v>
      </c>
      <c r="F9" s="100"/>
      <c r="G9" s="108">
        <f>Planilha1!G11</f>
        <v>158840.99748333334</v>
      </c>
      <c r="H9" s="108">
        <f>Planilha2!F9</f>
        <v>167839.2032819301</v>
      </c>
      <c r="I9" s="96"/>
      <c r="J9" s="92">
        <f>Planilha1!H11</f>
        <v>158200.99748333334</v>
      </c>
      <c r="K9" s="92">
        <f>Planilha2!G9</f>
        <v>167839.2032819301</v>
      </c>
      <c r="L9" s="12"/>
      <c r="M9" s="93">
        <f>Planilha1!I11</f>
        <v>74307.66415</v>
      </c>
      <c r="N9" s="92">
        <f>Planilha2!H9</f>
        <v>167839.2032819301</v>
      </c>
      <c r="O9" s="100"/>
      <c r="P9" s="108">
        <f>Planilha1!J11</f>
        <v>74495.25415</v>
      </c>
      <c r="Q9" s="108">
        <f>Planilha2!I9</f>
        <v>167839.2032819301</v>
      </c>
      <c r="R9" s="96"/>
      <c r="S9" s="92">
        <f>Planilha1!K11</f>
        <v>73935.25415</v>
      </c>
      <c r="T9" s="92">
        <f>Planilha2!J9</f>
        <v>167839.2032819301</v>
      </c>
      <c r="U9" s="12"/>
      <c r="V9" s="93">
        <f>Planilha1!L11</f>
        <v>74495.25415</v>
      </c>
      <c r="W9" s="92">
        <f>Planilha2!K9</f>
        <v>168029.3469897824</v>
      </c>
      <c r="X9" s="100"/>
      <c r="Y9" s="109">
        <f>Planilha1!M11</f>
        <v>75935.25415</v>
      </c>
      <c r="Z9" s="109">
        <f>Planilha2!L9</f>
        <v>168029.3469897824</v>
      </c>
      <c r="AA9" s="96"/>
      <c r="AB9" s="8">
        <f>Planilha1!N11</f>
        <v>74495.25415</v>
      </c>
      <c r="AC9" s="8">
        <f>Planilha2!M9</f>
        <v>172681.43745357776</v>
      </c>
      <c r="AD9" s="12"/>
      <c r="AE9" s="103">
        <f>Planilha1!O11</f>
        <v>75935.25415</v>
      </c>
      <c r="AF9" s="8">
        <f>Planilha2!N9</f>
        <v>172837.3111575778</v>
      </c>
      <c r="AG9" s="100"/>
      <c r="AH9" s="109">
        <f>Planilha1!P11</f>
        <v>74127.91415</v>
      </c>
      <c r="AI9" s="109">
        <f>Planilha2!O9</f>
        <v>172837.3111575778</v>
      </c>
      <c r="AJ9" s="96"/>
      <c r="AK9" s="8">
        <f>Planilha1!Q11</f>
        <v>62828.99415</v>
      </c>
      <c r="AL9" s="8">
        <f>Planilha2!P9</f>
        <v>172837.3111575778</v>
      </c>
      <c r="AM9" s="12"/>
      <c r="AN9" s="8">
        <f aca="true" t="shared" si="3" ref="AN9:AO11">AK9+AH9+AE9+AB9+Y9+V9+S9+P9+M9+J9+G9+D9</f>
        <v>1142799.0898</v>
      </c>
      <c r="AO9" s="8">
        <f t="shared" si="3"/>
        <v>2034287.284597457</v>
      </c>
      <c r="AP9" s="12">
        <f aca="true" t="shared" si="4" ref="AP9:AP18">AM9+AJ9+AG9+AD9+AA9+X9+U9+R9+O9+L9+I9+F9</f>
        <v>0</v>
      </c>
      <c r="AQ9" s="105">
        <f t="shared" si="1"/>
        <v>3177086.3743974566</v>
      </c>
      <c r="AS9" s="12">
        <v>1142799.0897999997</v>
      </c>
      <c r="AT9" s="12">
        <v>2034287.2845974565</v>
      </c>
      <c r="AU9" s="12"/>
      <c r="AV9" s="12"/>
      <c r="AW9" s="105">
        <f t="shared" si="2"/>
        <v>3177086.374397456</v>
      </c>
      <c r="AZ9"/>
      <c r="BA9"/>
      <c r="BB9"/>
      <c r="BC9"/>
    </row>
    <row r="10" spans="1:54" ht="36" customHeight="1" thickBot="1" thickTop="1">
      <c r="A10" s="251"/>
      <c r="B10" s="60" t="s">
        <v>9</v>
      </c>
      <c r="C10" s="13"/>
      <c r="D10" s="93">
        <f>Planilha1!F12</f>
        <v>60297.9168</v>
      </c>
      <c r="E10" s="92">
        <f>Planilha2!E10</f>
        <v>105744.3635796886</v>
      </c>
      <c r="F10" s="15"/>
      <c r="G10" s="108">
        <f>Planilha1!G12</f>
        <v>51926.6768</v>
      </c>
      <c r="H10" s="108">
        <f>Planilha2!F10</f>
        <v>105744.3635796886</v>
      </c>
      <c r="I10" s="44"/>
      <c r="J10" s="92">
        <f>Planilha1!H12</f>
        <v>52776.6768</v>
      </c>
      <c r="K10" s="92">
        <f>Planilha2!G10</f>
        <v>105744.3635796886</v>
      </c>
      <c r="L10" s="12"/>
      <c r="M10" s="93">
        <f>Planilha1!I12</f>
        <v>51626.6768</v>
      </c>
      <c r="N10" s="92">
        <f>Planilha2!H10</f>
        <v>105744.3635796886</v>
      </c>
      <c r="O10" s="15"/>
      <c r="P10" s="108">
        <f>Planilha1!J12</f>
        <v>52699.85346666667</v>
      </c>
      <c r="Q10" s="108">
        <f>Planilha2!I10</f>
        <v>105744.3635796886</v>
      </c>
      <c r="R10" s="44"/>
      <c r="S10" s="92">
        <f>Planilha1!K12</f>
        <v>54533.61096666667</v>
      </c>
      <c r="T10" s="92">
        <f>Planilha2!J10</f>
        <v>105744.3635796886</v>
      </c>
      <c r="U10" s="12"/>
      <c r="V10" s="93">
        <f>Planilha1!L12</f>
        <v>52311.41096666667</v>
      </c>
      <c r="W10" s="92">
        <f>Planilha2!K10</f>
        <v>105744.3635796886</v>
      </c>
      <c r="X10" s="15"/>
      <c r="Y10" s="109">
        <f>Planilha1!M12</f>
        <v>51161.41096666667</v>
      </c>
      <c r="Z10" s="109">
        <f>Planilha2!L10</f>
        <v>105744.3635796886</v>
      </c>
      <c r="AA10" s="44"/>
      <c r="AB10" s="8">
        <f>Planilha1!N12</f>
        <v>227711.41096666665</v>
      </c>
      <c r="AC10" s="8">
        <f>Planilha2!M10</f>
        <v>108925.25950138328</v>
      </c>
      <c r="AD10" s="12"/>
      <c r="AE10" s="103">
        <f>Planilha1!O12-AG10</f>
        <v>76161.41096666665</v>
      </c>
      <c r="AF10" s="8">
        <f>Planilha2!N10</f>
        <v>108972.97270938328</v>
      </c>
      <c r="AG10" s="99">
        <v>150000</v>
      </c>
      <c r="AH10" s="109">
        <f>Planilha1!P12-AJ10</f>
        <v>77311.41096666665</v>
      </c>
      <c r="AI10" s="109">
        <f>Planilha2!O10</f>
        <v>108972.97270938328</v>
      </c>
      <c r="AJ10" s="44">
        <v>150000</v>
      </c>
      <c r="AK10" s="8">
        <f>Planilha1!Q12-AM10</f>
        <v>62541.480966666655</v>
      </c>
      <c r="AL10" s="8">
        <f>Planilha2!P10</f>
        <v>108972.97270938328</v>
      </c>
      <c r="AM10" s="12">
        <v>150000</v>
      </c>
      <c r="AN10" s="8">
        <f t="shared" si="3"/>
        <v>871059.9474333334</v>
      </c>
      <c r="AO10" s="8">
        <f t="shared" si="3"/>
        <v>1281799.086267042</v>
      </c>
      <c r="AP10" s="12">
        <f t="shared" si="4"/>
        <v>450000</v>
      </c>
      <c r="AQ10" s="69">
        <f t="shared" si="1"/>
        <v>2602859.0337003754</v>
      </c>
      <c r="AS10" s="12">
        <f>1321059.94743333-AV10</f>
        <v>871059.9474333299</v>
      </c>
      <c r="AT10" s="12">
        <v>1281799.0862670415</v>
      </c>
      <c r="AU10" s="12"/>
      <c r="AV10" s="12">
        <v>450000</v>
      </c>
      <c r="AW10" s="69">
        <f t="shared" si="2"/>
        <v>2602859.033700371</v>
      </c>
      <c r="AZ10" s="74"/>
      <c r="BA10" s="74"/>
      <c r="BB10" s="74"/>
    </row>
    <row r="11" spans="1:54" ht="24" thickBot="1" thickTop="1">
      <c r="A11" s="252"/>
      <c r="B11" s="61" t="s">
        <v>10</v>
      </c>
      <c r="C11" s="16"/>
      <c r="D11" s="93">
        <f>Planilha1!F13</f>
        <v>68353.40038333334</v>
      </c>
      <c r="E11" s="92">
        <f>Planilha2!E11</f>
        <v>82319.94246052271</v>
      </c>
      <c r="F11" s="18"/>
      <c r="G11" s="108">
        <f>Planilha1!G13</f>
        <v>61455.50038333333</v>
      </c>
      <c r="H11" s="108">
        <f>Planilha2!F11</f>
        <v>82319.94246052271</v>
      </c>
      <c r="I11" s="45"/>
      <c r="J11" s="92">
        <f>Planilha1!H13</f>
        <v>61155.50038333333</v>
      </c>
      <c r="K11" s="92">
        <f>Planilha2!G11</f>
        <v>82319.94246052271</v>
      </c>
      <c r="L11" s="17"/>
      <c r="M11" s="93">
        <f>Planilha1!I13</f>
        <v>61155.50038333333</v>
      </c>
      <c r="N11" s="92">
        <f>Planilha2!H11</f>
        <v>82319.94246052271</v>
      </c>
      <c r="O11" s="18"/>
      <c r="P11" s="108">
        <f>Planilha1!J13</f>
        <v>61039.36038333333</v>
      </c>
      <c r="Q11" s="108">
        <f>Planilha2!I11</f>
        <v>82319.94246052271</v>
      </c>
      <c r="R11" s="45"/>
      <c r="S11" s="92">
        <f>Planilha1!K13</f>
        <v>61039.36038333333</v>
      </c>
      <c r="T11" s="92">
        <f>Planilha2!J11</f>
        <v>82319.94246052271</v>
      </c>
      <c r="U11" s="17"/>
      <c r="V11" s="93">
        <f>Planilha1!L13</f>
        <v>61039.36038333333</v>
      </c>
      <c r="W11" s="92">
        <f>Planilha2!K11</f>
        <v>82319.94246052271</v>
      </c>
      <c r="X11" s="18"/>
      <c r="Y11" s="109">
        <f>Planilha1!M13</f>
        <v>61039.36038333333</v>
      </c>
      <c r="Z11" s="109">
        <f>Planilha2!L11</f>
        <v>82319.94246052271</v>
      </c>
      <c r="AA11" s="45"/>
      <c r="AB11" s="8">
        <f>Planilha1!N13</f>
        <v>137706.02705</v>
      </c>
      <c r="AC11" s="8">
        <f>Planilha2!M11</f>
        <v>84695.76237094362</v>
      </c>
      <c r="AD11" s="17"/>
      <c r="AE11" s="103">
        <f>Planilha1!O13</f>
        <v>137706.02705</v>
      </c>
      <c r="AF11" s="8">
        <f>Planilha2!N11</f>
        <v>84705.77753094363</v>
      </c>
      <c r="AG11" s="18"/>
      <c r="AH11" s="109">
        <f>Planilha1!P13</f>
        <v>137706.02705</v>
      </c>
      <c r="AI11" s="109">
        <f>Planilha2!O11</f>
        <v>84705.77753094363</v>
      </c>
      <c r="AJ11" s="45"/>
      <c r="AK11" s="8">
        <f>Planilha1!Q13</f>
        <v>47523.180383333325</v>
      </c>
      <c r="AL11" s="8">
        <f>Planilha2!P11</f>
        <v>84705.77753094363</v>
      </c>
      <c r="AM11" s="17"/>
      <c r="AN11" s="8">
        <f t="shared" si="3"/>
        <v>956918.6045999998</v>
      </c>
      <c r="AO11" s="8">
        <f t="shared" si="3"/>
        <v>997372.6346479564</v>
      </c>
      <c r="AP11" s="17">
        <f t="shared" si="4"/>
        <v>0</v>
      </c>
      <c r="AQ11" s="70">
        <f t="shared" si="1"/>
        <v>1954291.2392479563</v>
      </c>
      <c r="AS11" s="17">
        <v>956918.6046000001</v>
      </c>
      <c r="AT11" s="17">
        <v>997372.6346479561</v>
      </c>
      <c r="AU11" s="17"/>
      <c r="AV11" s="17"/>
      <c r="AW11" s="70">
        <f t="shared" si="2"/>
        <v>1954291.2392479563</v>
      </c>
      <c r="AZ11" s="74"/>
      <c r="BA11" s="74"/>
      <c r="BB11" s="74"/>
    </row>
    <row r="12" spans="1:49" ht="42.75" customHeight="1" thickBot="1" thickTop="1">
      <c r="A12" s="261" t="s">
        <v>15</v>
      </c>
      <c r="B12" s="56" t="s">
        <v>11</v>
      </c>
      <c r="C12" s="19"/>
      <c r="D12" s="93">
        <f>Planilha1!F14</f>
        <v>238786.3731</v>
      </c>
      <c r="E12" s="92">
        <f>Planilha2!E12</f>
        <v>95589.5795664762</v>
      </c>
      <c r="F12" s="20"/>
      <c r="G12" s="108">
        <f>Planilha1!G14</f>
        <v>239217.96309999996</v>
      </c>
      <c r="H12" s="108">
        <f>Planilha2!F12</f>
        <v>95589.5795664762</v>
      </c>
      <c r="I12" s="46"/>
      <c r="J12" s="92">
        <f>Planilha1!H14</f>
        <v>239217.96309999996</v>
      </c>
      <c r="K12" s="92">
        <f>Planilha2!G12</f>
        <v>95589.5795664762</v>
      </c>
      <c r="L12" s="8"/>
      <c r="M12" s="93">
        <f>Planilha1!I14</f>
        <v>239217.96309999996</v>
      </c>
      <c r="N12" s="92">
        <f>Planilha2!H12</f>
        <v>95589.5795664762</v>
      </c>
      <c r="O12" s="20"/>
      <c r="P12" s="108">
        <f>Planilha1!J14</f>
        <v>68976.96310000001</v>
      </c>
      <c r="Q12" s="108">
        <f>Planilha2!I12</f>
        <v>95589.5795664762</v>
      </c>
      <c r="R12" s="46"/>
      <c r="S12" s="92">
        <f>Planilha1!K14</f>
        <v>68976.96310000001</v>
      </c>
      <c r="T12" s="92">
        <f>Planilha2!J12</f>
        <v>95589.5795664762</v>
      </c>
      <c r="U12" s="8"/>
      <c r="V12" s="93">
        <f>Planilha1!L14</f>
        <v>68976.96310000001</v>
      </c>
      <c r="W12" s="92">
        <f>Planilha2!K12</f>
        <v>95589.5795664762</v>
      </c>
      <c r="X12" s="20"/>
      <c r="Y12" s="109">
        <f>Planilha1!M14</f>
        <v>68976.96310000001</v>
      </c>
      <c r="Z12" s="109">
        <f>Planilha2!L12</f>
        <v>95589.5795664762</v>
      </c>
      <c r="AA12" s="46"/>
      <c r="AB12" s="8">
        <f>Planilha1!N14</f>
        <v>68976.96310000001</v>
      </c>
      <c r="AC12" s="8">
        <f>Planilha2!M12</f>
        <v>98268.21087193525</v>
      </c>
      <c r="AD12" s="8"/>
      <c r="AE12" s="103">
        <f>Planilha1!O14</f>
        <v>68976.96310000001</v>
      </c>
      <c r="AF12" s="8">
        <f>Planilha2!N12</f>
        <v>98384.70507993526</v>
      </c>
      <c r="AG12" s="20"/>
      <c r="AH12" s="109">
        <f>Planilha1!P14</f>
        <v>68976.96310000001</v>
      </c>
      <c r="AI12" s="109">
        <f>Planilha2!O12</f>
        <v>98384.70507993526</v>
      </c>
      <c r="AJ12" s="46"/>
      <c r="AK12" s="8">
        <f>Planilha1!Q14</f>
        <v>68976.96310000001</v>
      </c>
      <c r="AL12" s="8">
        <f>Planilha2!P12</f>
        <v>98384.70507993526</v>
      </c>
      <c r="AM12" s="8"/>
      <c r="AN12" s="8">
        <f aca="true" t="shared" si="5" ref="AN12:AN18">AK12+AH12+AE12+AB12+Y12+V12+S12+P12+M12+J12+G12+D12</f>
        <v>1508255.9671999998</v>
      </c>
      <c r="AO12" s="8">
        <f aca="true" t="shared" si="6" ref="AO12:AO18">AL12+AI12+AF12+AC12+Z12+W12+T12+Q12+N12+K12+H12+E12</f>
        <v>1158138.9626435505</v>
      </c>
      <c r="AP12" s="8">
        <f t="shared" si="4"/>
        <v>0</v>
      </c>
      <c r="AQ12" s="71">
        <f t="shared" si="1"/>
        <v>2666394.9298435505</v>
      </c>
      <c r="AS12" s="8">
        <v>1508255.9672000003</v>
      </c>
      <c r="AT12" s="8">
        <v>1158138.9626435505</v>
      </c>
      <c r="AU12" s="8"/>
      <c r="AV12" s="8"/>
      <c r="AW12" s="71">
        <f t="shared" si="2"/>
        <v>2666394.9298435505</v>
      </c>
    </row>
    <row r="13" spans="1:55" ht="41.25" customHeight="1" thickBot="1" thickTop="1">
      <c r="A13" s="262"/>
      <c r="B13" s="97" t="s">
        <v>12</v>
      </c>
      <c r="C13" s="11"/>
      <c r="D13" s="93">
        <f>Planilha1!F15</f>
        <v>49811.929599999996</v>
      </c>
      <c r="E13" s="92">
        <f>Planilha2!E13</f>
        <v>106268.71917519812</v>
      </c>
      <c r="F13" s="100"/>
      <c r="G13" s="108">
        <f>Planilha1!G15</f>
        <v>41750.8196</v>
      </c>
      <c r="H13" s="108">
        <f>Planilha2!F13</f>
        <v>106268.71917519812</v>
      </c>
      <c r="I13" s="96"/>
      <c r="J13" s="92">
        <f>Planilha1!H15</f>
        <v>41750.8196</v>
      </c>
      <c r="K13" s="92">
        <f>Planilha2!G13</f>
        <v>106268.71917519812</v>
      </c>
      <c r="L13" s="12"/>
      <c r="M13" s="93">
        <f>Planilha1!I15</f>
        <v>44250.8196</v>
      </c>
      <c r="N13" s="92">
        <f>Planilha2!H13</f>
        <v>106268.71917519812</v>
      </c>
      <c r="O13" s="100"/>
      <c r="P13" s="108">
        <f>Planilha1!J15</f>
        <v>41651.6796</v>
      </c>
      <c r="Q13" s="108">
        <f>Planilha2!I13</f>
        <v>106268.71917519812</v>
      </c>
      <c r="R13" s="96"/>
      <c r="S13" s="92">
        <f>Planilha1!K15</f>
        <v>41651.6796</v>
      </c>
      <c r="T13" s="92">
        <f>Planilha2!J13</f>
        <v>106268.71917519812</v>
      </c>
      <c r="U13" s="12"/>
      <c r="V13" s="93">
        <f>Planilha1!L15</f>
        <v>43851.6796</v>
      </c>
      <c r="W13" s="92">
        <f>Planilha2!K13</f>
        <v>106363.1855286685</v>
      </c>
      <c r="X13" s="100"/>
      <c r="Y13" s="109">
        <f>Planilha1!M15</f>
        <v>42631.6796</v>
      </c>
      <c r="Z13" s="109">
        <f>Planilha2!L13</f>
        <v>106363.1855286685</v>
      </c>
      <c r="AA13" s="96"/>
      <c r="AB13" s="8">
        <f>Planilha1!N15</f>
        <v>41651.6796</v>
      </c>
      <c r="AC13" s="8">
        <f>Planilha2!M13</f>
        <v>108809.77330728213</v>
      </c>
      <c r="AD13" s="12"/>
      <c r="AE13" s="103">
        <f>Planilha1!O15</f>
        <v>41651.6796</v>
      </c>
      <c r="AF13" s="8">
        <f>Planilha2!N13</f>
        <v>108841.40004328212</v>
      </c>
      <c r="AG13" s="100"/>
      <c r="AH13" s="109">
        <f>Planilha1!P15</f>
        <v>111726.9001</v>
      </c>
      <c r="AI13" s="109">
        <f>Planilha2!O13</f>
        <v>108841.40004328212</v>
      </c>
      <c r="AJ13" s="96"/>
      <c r="AK13" s="8">
        <f>Planilha1!Q15</f>
        <v>41726.9001</v>
      </c>
      <c r="AL13" s="8">
        <f>Planilha2!P13</f>
        <v>108841.40004328212</v>
      </c>
      <c r="AM13" s="12"/>
      <c r="AN13" s="12">
        <f t="shared" si="5"/>
        <v>584108.2662000002</v>
      </c>
      <c r="AO13" s="12">
        <f t="shared" si="6"/>
        <v>1285672.659545654</v>
      </c>
      <c r="AP13" s="12">
        <f t="shared" si="4"/>
        <v>0</v>
      </c>
      <c r="AQ13" s="105">
        <f>AP13+AO13+AN13</f>
        <v>1869780.9257456542</v>
      </c>
      <c r="AS13" s="12">
        <v>584108.2662000001</v>
      </c>
      <c r="AT13" s="12">
        <v>1285672.6595456542</v>
      </c>
      <c r="AU13" s="12"/>
      <c r="AV13" s="12"/>
      <c r="AW13" s="105">
        <f t="shared" si="2"/>
        <v>1869780.9257456544</v>
      </c>
      <c r="AZ13" s="83"/>
      <c r="BA13" s="83"/>
      <c r="BB13" s="83"/>
      <c r="BC13" s="83"/>
    </row>
    <row r="14" spans="1:55" ht="82.5" customHeight="1" thickBot="1" thickTop="1">
      <c r="A14" s="97" t="s">
        <v>19</v>
      </c>
      <c r="B14" s="97" t="s">
        <v>135</v>
      </c>
      <c r="C14" s="21"/>
      <c r="D14" s="167">
        <f>Planilha1!F17+Planilha1!F18</f>
        <v>530924.6324833333</v>
      </c>
      <c r="E14" s="169">
        <f>Planilha2!E15</f>
        <v>276612.9728385744</v>
      </c>
      <c r="F14" s="101"/>
      <c r="G14" s="168">
        <f>Planilha1!G17+Planilha1!G18</f>
        <v>493444.94415000005</v>
      </c>
      <c r="H14" s="168">
        <f>Planilha2!F15</f>
        <v>280489.38313857437</v>
      </c>
      <c r="I14" s="95"/>
      <c r="J14" s="169">
        <f>Planilha1!H17+Planilha1!H18</f>
        <v>485154.94415000005</v>
      </c>
      <c r="K14" s="169">
        <f>Planilha2!G15</f>
        <v>276612.9728385744</v>
      </c>
      <c r="L14" s="22"/>
      <c r="M14" s="167">
        <f>Planilha1!I17+Planilha1!I18</f>
        <v>508804.94415000005</v>
      </c>
      <c r="N14" s="169">
        <f>Planilha2!H15</f>
        <v>276612.9728385744</v>
      </c>
      <c r="O14" s="101"/>
      <c r="P14" s="167">
        <f>Planilha1!J17+Planilha1!J18</f>
        <v>485809.95977500005</v>
      </c>
      <c r="Q14" s="168">
        <f>Planilha2!I15</f>
        <v>276612.9728385744</v>
      </c>
      <c r="R14" s="95"/>
      <c r="S14" s="169">
        <f>Planilha1!K17+Planilha1!K18</f>
        <v>1124669.9597749999</v>
      </c>
      <c r="T14" s="169">
        <f>Planilha2!J15</f>
        <v>276612.9728385744</v>
      </c>
      <c r="U14" s="22"/>
      <c r="V14" s="167">
        <f>Planilha1!L17+Planilha1!L18</f>
        <v>1148069.9597749999</v>
      </c>
      <c r="W14" s="169">
        <f>Planilha2!K15</f>
        <v>276612.9728385744</v>
      </c>
      <c r="X14" s="101"/>
      <c r="Y14" s="168">
        <f>Planilha1!M17+Planilha1!M18</f>
        <v>524669.959775</v>
      </c>
      <c r="Z14" s="168">
        <f>Planilha2!L15</f>
        <v>276612.9728385744</v>
      </c>
      <c r="AA14" s="95"/>
      <c r="AB14" s="169">
        <f>Planilha1!N17+Planilha1!N18</f>
        <v>524669.959775</v>
      </c>
      <c r="AC14" s="169">
        <f>Planilha2!M15</f>
        <v>283972.7795857484</v>
      </c>
      <c r="AD14" s="22"/>
      <c r="AE14" s="167">
        <f>Planilha1!O17+Planilha1!O18</f>
        <v>548069.959775</v>
      </c>
      <c r="AF14" s="169">
        <f>Planilha2!N15</f>
        <v>284303.1069537484</v>
      </c>
      <c r="AG14" s="101"/>
      <c r="AH14" s="167">
        <f>Planilha1!P17+Planilha1!P18</f>
        <v>549652.759775</v>
      </c>
      <c r="AI14" s="168">
        <f>Planilha2!O15</f>
        <v>284303.1069537484</v>
      </c>
      <c r="AJ14" s="95"/>
      <c r="AK14" s="169">
        <f>Planilha1!Q17+Planilha1!Q18</f>
        <v>549652.759775</v>
      </c>
      <c r="AL14" s="169">
        <f>Planilha2!P15</f>
        <v>284303.1069537484</v>
      </c>
      <c r="AM14" s="22"/>
      <c r="AN14" s="22">
        <f t="shared" si="5"/>
        <v>7473594.743133333</v>
      </c>
      <c r="AO14" s="22">
        <f t="shared" si="6"/>
        <v>3353662.2934555886</v>
      </c>
      <c r="AP14" s="22">
        <f t="shared" si="4"/>
        <v>0</v>
      </c>
      <c r="AQ14" s="107">
        <f t="shared" si="1"/>
        <v>10827257.036588922</v>
      </c>
      <c r="AS14" s="169">
        <f>Planilha1!D17+Planilha1!D18</f>
        <v>7473594.743133335</v>
      </c>
      <c r="AT14" s="169">
        <f>Planilha2!D15</f>
        <v>3353662.2934555886</v>
      </c>
      <c r="AU14" s="22"/>
      <c r="AV14" s="22"/>
      <c r="AW14" s="107">
        <f t="shared" si="2"/>
        <v>10827257.036588924</v>
      </c>
      <c r="AZ14" s="4">
        <v>10205000</v>
      </c>
      <c r="BA14" s="4">
        <v>50000</v>
      </c>
      <c r="BB14" s="4">
        <v>0</v>
      </c>
      <c r="BC14" s="4">
        <v>10255000</v>
      </c>
    </row>
    <row r="15" spans="1:49" ht="38.25" customHeight="1" thickTop="1">
      <c r="A15" s="263" t="s">
        <v>32</v>
      </c>
      <c r="B15" s="263" t="s">
        <v>31</v>
      </c>
      <c r="C15" s="27" t="s">
        <v>25</v>
      </c>
      <c r="D15" s="253">
        <f>Planilha1!F20+Planilha1!F21</f>
        <v>87500</v>
      </c>
      <c r="E15" s="255"/>
      <c r="F15" s="257"/>
      <c r="G15" s="259">
        <f>Planilha1!G20+Planilha1!G21</f>
        <v>0</v>
      </c>
      <c r="H15" s="259">
        <v>20000</v>
      </c>
      <c r="I15" s="259"/>
      <c r="J15" s="255">
        <v>0</v>
      </c>
      <c r="K15" s="255">
        <v>0</v>
      </c>
      <c r="L15" s="255"/>
      <c r="M15" s="253">
        <v>0</v>
      </c>
      <c r="N15" s="255">
        <v>0</v>
      </c>
      <c r="O15" s="257"/>
      <c r="P15" s="259">
        <v>0</v>
      </c>
      <c r="Q15" s="259"/>
      <c r="R15" s="259"/>
      <c r="S15" s="255">
        <v>0</v>
      </c>
      <c r="T15" s="255">
        <v>0</v>
      </c>
      <c r="U15" s="255"/>
      <c r="V15" s="253">
        <v>0</v>
      </c>
      <c r="W15" s="255">
        <v>0</v>
      </c>
      <c r="X15" s="257"/>
      <c r="Y15" s="259">
        <v>0</v>
      </c>
      <c r="Z15" s="259">
        <v>0</v>
      </c>
      <c r="AA15" s="259"/>
      <c r="AB15" s="255">
        <v>0</v>
      </c>
      <c r="AC15" s="255">
        <v>0</v>
      </c>
      <c r="AD15" s="255"/>
      <c r="AE15" s="253">
        <v>0</v>
      </c>
      <c r="AF15" s="255">
        <v>0</v>
      </c>
      <c r="AG15" s="257"/>
      <c r="AH15" s="259">
        <v>100000</v>
      </c>
      <c r="AI15" s="259">
        <v>0</v>
      </c>
      <c r="AJ15" s="259"/>
      <c r="AK15" s="255">
        <v>130000</v>
      </c>
      <c r="AL15" s="255">
        <v>100000</v>
      </c>
      <c r="AM15" s="255"/>
      <c r="AN15" s="255">
        <f t="shared" si="5"/>
        <v>317500</v>
      </c>
      <c r="AO15" s="255">
        <f t="shared" si="6"/>
        <v>120000</v>
      </c>
      <c r="AP15" s="255">
        <f t="shared" si="4"/>
        <v>0</v>
      </c>
      <c r="AQ15" s="277">
        <f aca="true" t="shared" si="7" ref="AQ15:AQ25">AP15+AO15+AN15</f>
        <v>437500</v>
      </c>
      <c r="AS15" s="280">
        <f>Planilha1!F20+Planilha1!D21</f>
        <v>317500</v>
      </c>
      <c r="AT15" s="255">
        <f>Planilha2!D18+Planilha2!D19</f>
        <v>120000</v>
      </c>
      <c r="AU15" s="255"/>
      <c r="AV15" s="255"/>
      <c r="AW15" s="277">
        <f aca="true" t="shared" si="8" ref="AW15:AW25">SUM(AS15:AV15)</f>
        <v>437500</v>
      </c>
    </row>
    <row r="16" spans="1:49" ht="36" customHeight="1" thickBot="1">
      <c r="A16" s="264"/>
      <c r="B16" s="264"/>
      <c r="C16" s="28" t="s">
        <v>26</v>
      </c>
      <c r="D16" s="254"/>
      <c r="E16" s="256"/>
      <c r="F16" s="258"/>
      <c r="G16" s="260"/>
      <c r="H16" s="260"/>
      <c r="I16" s="260"/>
      <c r="J16" s="256"/>
      <c r="K16" s="256"/>
      <c r="L16" s="256"/>
      <c r="M16" s="254"/>
      <c r="N16" s="256"/>
      <c r="O16" s="258"/>
      <c r="P16" s="260"/>
      <c r="Q16" s="260"/>
      <c r="R16" s="260"/>
      <c r="S16" s="256"/>
      <c r="T16" s="256"/>
      <c r="U16" s="256"/>
      <c r="V16" s="254"/>
      <c r="W16" s="256"/>
      <c r="X16" s="258"/>
      <c r="Y16" s="260"/>
      <c r="Z16" s="260"/>
      <c r="AA16" s="260"/>
      <c r="AB16" s="256"/>
      <c r="AC16" s="256"/>
      <c r="AD16" s="256"/>
      <c r="AE16" s="254"/>
      <c r="AF16" s="256"/>
      <c r="AG16" s="258"/>
      <c r="AH16" s="260"/>
      <c r="AI16" s="260"/>
      <c r="AJ16" s="260"/>
      <c r="AK16" s="256"/>
      <c r="AL16" s="256"/>
      <c r="AM16" s="256"/>
      <c r="AN16" s="256">
        <f t="shared" si="5"/>
        <v>0</v>
      </c>
      <c r="AO16" s="256">
        <f t="shared" si="6"/>
        <v>0</v>
      </c>
      <c r="AP16" s="256">
        <f t="shared" si="4"/>
        <v>0</v>
      </c>
      <c r="AQ16" s="278">
        <f t="shared" si="7"/>
        <v>0</v>
      </c>
      <c r="AS16" s="281"/>
      <c r="AT16" s="256"/>
      <c r="AU16" s="256"/>
      <c r="AV16" s="256"/>
      <c r="AW16" s="278">
        <f t="shared" si="8"/>
        <v>0</v>
      </c>
    </row>
    <row r="17" spans="1:49" ht="27" customHeight="1" thickTop="1">
      <c r="A17" s="264"/>
      <c r="B17" s="274" t="s">
        <v>16</v>
      </c>
      <c r="C17" s="29" t="s">
        <v>77</v>
      </c>
      <c r="D17" s="239">
        <v>0</v>
      </c>
      <c r="E17" s="239"/>
      <c r="F17" s="239"/>
      <c r="G17" s="239">
        <v>3000000</v>
      </c>
      <c r="H17" s="239">
        <v>0</v>
      </c>
      <c r="I17" s="239"/>
      <c r="J17" s="239">
        <v>2600000</v>
      </c>
      <c r="K17" s="239">
        <v>0</v>
      </c>
      <c r="L17" s="239"/>
      <c r="M17" s="239">
        <v>4015000</v>
      </c>
      <c r="N17" s="239">
        <v>0</v>
      </c>
      <c r="O17" s="239"/>
      <c r="P17" s="239">
        <v>488000</v>
      </c>
      <c r="Q17" s="239">
        <v>0</v>
      </c>
      <c r="R17" s="239"/>
      <c r="S17" s="239">
        <v>102000</v>
      </c>
      <c r="T17" s="239">
        <v>50000</v>
      </c>
      <c r="U17" s="239"/>
      <c r="V17" s="239">
        <v>0</v>
      </c>
      <c r="W17" s="239">
        <v>0</v>
      </c>
      <c r="X17" s="239"/>
      <c r="Y17" s="239">
        <v>0</v>
      </c>
      <c r="Z17" s="239">
        <v>0</v>
      </c>
      <c r="AA17" s="239"/>
      <c r="AB17" s="239">
        <v>0</v>
      </c>
      <c r="AC17" s="239">
        <v>0</v>
      </c>
      <c r="AD17" s="239"/>
      <c r="AE17" s="239">
        <v>0</v>
      </c>
      <c r="AF17" s="239">
        <v>0</v>
      </c>
      <c r="AG17" s="239"/>
      <c r="AH17" s="239">
        <v>0</v>
      </c>
      <c r="AI17" s="239">
        <v>0</v>
      </c>
      <c r="AJ17" s="239"/>
      <c r="AK17" s="239"/>
      <c r="AL17" s="239">
        <v>0</v>
      </c>
      <c r="AM17" s="239"/>
      <c r="AN17" s="255">
        <f t="shared" si="5"/>
        <v>10205000</v>
      </c>
      <c r="AO17" s="255">
        <f t="shared" si="6"/>
        <v>50000</v>
      </c>
      <c r="AP17" s="255">
        <f t="shared" si="4"/>
        <v>0</v>
      </c>
      <c r="AQ17" s="277">
        <f>AP17+AO17+AN17</f>
        <v>10255000</v>
      </c>
      <c r="AS17" s="256">
        <f>Planilha1!D19</f>
        <v>10205000</v>
      </c>
      <c r="AT17" s="256">
        <v>50000</v>
      </c>
      <c r="AU17" s="256"/>
      <c r="AV17" s="256"/>
      <c r="AW17" s="278">
        <f t="shared" si="8"/>
        <v>10255000</v>
      </c>
    </row>
    <row r="18" spans="1:53" ht="32.25" customHeight="1" thickBot="1">
      <c r="A18" s="265"/>
      <c r="B18" s="275"/>
      <c r="C18" s="30" t="s">
        <v>27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56">
        <f t="shared" si="5"/>
        <v>0</v>
      </c>
      <c r="AO18" s="256">
        <f t="shared" si="6"/>
        <v>0</v>
      </c>
      <c r="AP18" s="256">
        <f t="shared" si="4"/>
        <v>0</v>
      </c>
      <c r="AQ18" s="278">
        <f>AP18+AO18+AN18</f>
        <v>0</v>
      </c>
      <c r="AS18" s="276"/>
      <c r="AT18" s="276"/>
      <c r="AU18" s="276"/>
      <c r="AV18" s="276"/>
      <c r="AW18" s="279">
        <f t="shared" si="8"/>
        <v>0</v>
      </c>
      <c r="AZ18" s="172">
        <f>AZ19-AS19</f>
        <v>0</v>
      </c>
      <c r="BA18" s="172">
        <f>BA19-AT19</f>
        <v>0</v>
      </c>
    </row>
    <row r="19" spans="1:53" ht="54" customHeight="1" thickBot="1" thickTop="1">
      <c r="A19" s="57" t="s">
        <v>17</v>
      </c>
      <c r="B19" s="57" t="s">
        <v>18</v>
      </c>
      <c r="C19" s="24" t="s">
        <v>23</v>
      </c>
      <c r="D19" s="170">
        <f>Planilha1!F16</f>
        <v>145228.58106666667</v>
      </c>
      <c r="E19" s="170">
        <f>Planilha2!E14</f>
        <v>183575.71837820119</v>
      </c>
      <c r="F19" s="26"/>
      <c r="G19" s="171">
        <f>Planilha1!G16</f>
        <v>139578.58106666667</v>
      </c>
      <c r="H19" s="171">
        <f>Planilha2!F14</f>
        <v>183575.71837820119</v>
      </c>
      <c r="I19" s="43"/>
      <c r="J19" s="170">
        <f>Planilha1!H16</f>
        <v>137508.58106666667</v>
      </c>
      <c r="K19" s="170">
        <f>Planilha2!G14</f>
        <v>183575.71837820119</v>
      </c>
      <c r="L19" s="25"/>
      <c r="M19" s="170">
        <f>Planilha1!I16</f>
        <v>136578.58106666667</v>
      </c>
      <c r="N19" s="170">
        <f>Planilha2!H14</f>
        <v>183575.71837820119</v>
      </c>
      <c r="O19" s="26"/>
      <c r="P19" s="170">
        <f>Planilha1!J16</f>
        <v>133906.03106666665</v>
      </c>
      <c r="Q19" s="171">
        <f>Planilha2!I14</f>
        <v>183575.71837820119</v>
      </c>
      <c r="R19" s="43"/>
      <c r="S19" s="170">
        <f>Planilha1!K16</f>
        <v>138769.83106666667</v>
      </c>
      <c r="T19" s="170">
        <f>Planilha2!J14</f>
        <v>183575.71837820119</v>
      </c>
      <c r="U19" s="25"/>
      <c r="V19" s="170">
        <f>Planilha1!L16</f>
        <v>133639.83106666667</v>
      </c>
      <c r="W19" s="170">
        <f>Planilha2!K14</f>
        <v>183834.13130109472</v>
      </c>
      <c r="X19" s="26"/>
      <c r="Y19" s="171">
        <f>Planilha1!M16</f>
        <v>133578.38606666666</v>
      </c>
      <c r="Z19" s="171">
        <f>Planilha2!L14</f>
        <v>183834.13130109472</v>
      </c>
      <c r="AA19" s="43"/>
      <c r="AB19" s="170">
        <f>Planilha1!N16</f>
        <v>134508.38606666666</v>
      </c>
      <c r="AC19" s="170">
        <f>Planilha2!M14</f>
        <v>188715.08139670797</v>
      </c>
      <c r="AD19" s="25"/>
      <c r="AE19" s="170">
        <f>Planilha1!O16</f>
        <v>134202.38606666666</v>
      </c>
      <c r="AF19" s="170">
        <f>Planilha2!N14</f>
        <v>188964.19506870798</v>
      </c>
      <c r="AG19" s="26"/>
      <c r="AH19" s="170">
        <f>Planilha1!P16</f>
        <v>133424.78606666665</v>
      </c>
      <c r="AI19" s="171">
        <f>Planilha2!O14</f>
        <v>188964.19506870798</v>
      </c>
      <c r="AJ19" s="43"/>
      <c r="AK19" s="170">
        <f>Planilha1!Q16</f>
        <v>81163.07606666666</v>
      </c>
      <c r="AL19" s="170">
        <f>Planilha2!P14</f>
        <v>188964.19506870798</v>
      </c>
      <c r="AM19" s="25"/>
      <c r="AN19" s="25">
        <f>AK19+AH19+AE19+AB19+Y19+V19+S19+P19+M19+J19+G19+D19</f>
        <v>1582087.0377999998</v>
      </c>
      <c r="AO19" s="25">
        <f>AL19+AI19+AF19+AC19+Z19+W19+T19+Q19+N19+K19+H19+E19</f>
        <v>2224730.2394742286</v>
      </c>
      <c r="AP19" s="25">
        <f>AM19+AJ19+AG19+AD19+AA19+X19+U19+R19+O19+L19+I19+F19</f>
        <v>0</v>
      </c>
      <c r="AQ19" s="72">
        <f>AP19+AO19+AN19</f>
        <v>3806817.2772742286</v>
      </c>
      <c r="AS19" s="170">
        <f>Planilha1!D16</f>
        <v>1582087.0377999998</v>
      </c>
      <c r="AT19" s="170">
        <f>Planilha2!D14</f>
        <v>2224730.2394742286</v>
      </c>
      <c r="AU19" s="25"/>
      <c r="AV19" s="25"/>
      <c r="AW19" s="72">
        <f>SUM(AS19:AV19)</f>
        <v>3806817.2772742286</v>
      </c>
      <c r="AZ19" s="4">
        <v>1582087.0377999998</v>
      </c>
      <c r="BA19" s="4">
        <v>2224730.2394742286</v>
      </c>
    </row>
    <row r="20" spans="1:52" ht="21" customHeight="1" thickBot="1" thickTop="1">
      <c r="A20" s="266" t="s">
        <v>30</v>
      </c>
      <c r="B20" s="266" t="s">
        <v>20</v>
      </c>
      <c r="C20" s="31" t="s">
        <v>66</v>
      </c>
      <c r="D20" s="48">
        <f>D21+D22+D23+D24+D25</f>
        <v>1617036.5909545454</v>
      </c>
      <c r="E20" s="268">
        <f>Planilha2!E20</f>
        <v>101006.27894003107</v>
      </c>
      <c r="F20" s="9"/>
      <c r="G20" s="49">
        <f>G21+G22+G23+G24+G25</f>
        <v>1638096.22</v>
      </c>
      <c r="H20" s="270">
        <f>Planilha2!F20</f>
        <v>101006.27894003107</v>
      </c>
      <c r="I20" s="59"/>
      <c r="J20" s="50">
        <f>J21+J22+J23+J24+J25</f>
        <v>1587524.79</v>
      </c>
      <c r="K20" s="272">
        <f>Planilha2!G20</f>
        <v>101006.27894003107</v>
      </c>
      <c r="L20" s="8"/>
      <c r="M20" s="48">
        <f>M21+M22+M23+M24+M25</f>
        <v>1672080.36</v>
      </c>
      <c r="N20" s="268">
        <f>Planilha2!H20</f>
        <v>101006.27894003107</v>
      </c>
      <c r="O20" s="9"/>
      <c r="P20" s="48">
        <f>P21+P22+P23+P24+P25</f>
        <v>1471124.6</v>
      </c>
      <c r="Q20" s="270">
        <f>Planilha2!I20</f>
        <v>101006.27894003107</v>
      </c>
      <c r="R20" s="59"/>
      <c r="S20" s="48">
        <f>S21+S22+S23+S24+S25</f>
        <v>1408955.59</v>
      </c>
      <c r="T20" s="272">
        <v>101006.28</v>
      </c>
      <c r="U20" s="8"/>
      <c r="V20" s="48">
        <f>V21+V22+V23+V24+V25</f>
        <v>1672190.1600000001</v>
      </c>
      <c r="W20" s="268">
        <v>101006.28</v>
      </c>
      <c r="X20" s="9"/>
      <c r="Y20" s="48">
        <f>Y21+Y22+Y23+Y24+Y25</f>
        <v>1503290.45</v>
      </c>
      <c r="Z20" s="270">
        <f>Planilha2!L20</f>
        <v>101006.27894003107</v>
      </c>
      <c r="AA20" s="59"/>
      <c r="AB20" s="48">
        <f>AB21+AB22+AB23+AB24+AB25</f>
        <v>1757717.9000000001</v>
      </c>
      <c r="AC20" s="272">
        <f>Planilha2!M20</f>
        <v>103732.7144399643</v>
      </c>
      <c r="AD20" s="8"/>
      <c r="AE20" s="48">
        <f>AE21+AE22+AE23+AE24+AE25</f>
        <v>1608079.69</v>
      </c>
      <c r="AF20" s="268">
        <f>Planilha2!N20</f>
        <v>103739.21156796429</v>
      </c>
      <c r="AG20" s="9"/>
      <c r="AH20" s="48">
        <f>AH21+AH22+AH23+AH24+AH25</f>
        <v>1608640.71</v>
      </c>
      <c r="AI20" s="270">
        <f>Planilha2!O20</f>
        <v>103739.21156796429</v>
      </c>
      <c r="AJ20" s="59"/>
      <c r="AK20" s="48">
        <f>AK21+AK22+AK23+AK24+AK25</f>
        <v>1655800.06</v>
      </c>
      <c r="AL20" s="272">
        <f>Planilha2!P20</f>
        <v>103739.21156796429</v>
      </c>
      <c r="AM20" s="8"/>
      <c r="AN20" s="48">
        <f>SUM(AN21:AN25)</f>
        <v>19200537.120954543</v>
      </c>
      <c r="AO20" s="272">
        <f aca="true" t="shared" si="9" ref="AO20:AO25">AL20+AI20+AF20+AC20+Z20+W20+T20+Q20+N20+K20+H20+E20</f>
        <v>1223000.5827840436</v>
      </c>
      <c r="AP20" s="8">
        <f aca="true" t="shared" si="10" ref="AP20:AP36">AM20+AJ20+AG20+AD20+AA20+X20+U20+R20+O20+L20+I20+F20</f>
        <v>0</v>
      </c>
      <c r="AQ20" s="282">
        <f>AP20+AO20+AN20</f>
        <v>20423537.703738585</v>
      </c>
      <c r="AS20" s="48">
        <f>Planilha1!D22+Planilha1!D23+Planilha1!D24+Planilha1!D25</f>
        <v>19200537.096080262</v>
      </c>
      <c r="AT20" s="284">
        <f>Planilha2!D20</f>
        <v>1223000.580664106</v>
      </c>
      <c r="AU20" s="8"/>
      <c r="AV20" s="8"/>
      <c r="AW20" s="282">
        <f t="shared" si="8"/>
        <v>20423537.676744368</v>
      </c>
      <c r="AZ20" s="74">
        <f>AZ21+AZ22+AZ23+AZ24+AZ25</f>
        <v>19200537.120954543</v>
      </c>
    </row>
    <row r="21" spans="1:53" ht="49.5" customHeight="1" thickTop="1">
      <c r="A21" s="267"/>
      <c r="B21" s="267"/>
      <c r="C21" s="32" t="s">
        <v>149</v>
      </c>
      <c r="D21" s="12">
        <v>1497790.4354545455</v>
      </c>
      <c r="E21" s="269"/>
      <c r="F21" s="15"/>
      <c r="G21" s="44">
        <v>1531624.18</v>
      </c>
      <c r="H21" s="271"/>
      <c r="I21" s="44"/>
      <c r="J21" s="12">
        <v>1482852.75</v>
      </c>
      <c r="K21" s="273"/>
      <c r="L21" s="12"/>
      <c r="M21" s="12">
        <v>1565137.8</v>
      </c>
      <c r="N21" s="269"/>
      <c r="O21" s="15"/>
      <c r="P21" s="44">
        <v>1358040.04</v>
      </c>
      <c r="Q21" s="271"/>
      <c r="R21" s="44"/>
      <c r="S21" s="12">
        <v>1302733.03</v>
      </c>
      <c r="T21" s="273"/>
      <c r="U21" s="12"/>
      <c r="V21" s="12">
        <f>1611807.6-144100</f>
        <v>1467707.6</v>
      </c>
      <c r="W21" s="269"/>
      <c r="X21" s="15"/>
      <c r="Y21" s="44">
        <f>1442547.89-131000</f>
        <v>1311547.89</v>
      </c>
      <c r="Z21" s="271"/>
      <c r="AA21" s="44"/>
      <c r="AB21" s="12">
        <f>1699495.34-144100</f>
        <v>1555395.34</v>
      </c>
      <c r="AC21" s="273"/>
      <c r="AD21" s="12"/>
      <c r="AE21" s="12">
        <f>1549497.13-131000</f>
        <v>1418497.13</v>
      </c>
      <c r="AF21" s="269"/>
      <c r="AG21" s="15"/>
      <c r="AH21" s="44">
        <f>1544636.15-144100</f>
        <v>1400536.15</v>
      </c>
      <c r="AI21" s="271"/>
      <c r="AJ21" s="44"/>
      <c r="AK21" s="12">
        <f>1598297.5-144100</f>
        <v>1454197.5</v>
      </c>
      <c r="AL21" s="273"/>
      <c r="AM21" s="12"/>
      <c r="AN21" s="12">
        <f>AK21+AH21+AE21+AB21+Y21+V21+S21+P21+M21+J21+G21+D21</f>
        <v>17346059.845454544</v>
      </c>
      <c r="AO21" s="273">
        <f t="shared" si="9"/>
        <v>0</v>
      </c>
      <c r="AP21" s="12">
        <f t="shared" si="10"/>
        <v>0</v>
      </c>
      <c r="AQ21" s="283">
        <f t="shared" si="7"/>
        <v>17346059.845454544</v>
      </c>
      <c r="AS21" s="12"/>
      <c r="AT21" s="285"/>
      <c r="AU21" s="12"/>
      <c r="AV21" s="12"/>
      <c r="AW21" s="283">
        <f t="shared" si="8"/>
        <v>0</v>
      </c>
      <c r="AZ21" s="4">
        <v>17346059.845454544</v>
      </c>
      <c r="BA21" s="74">
        <v>1223000.5827840436</v>
      </c>
    </row>
    <row r="22" spans="1:52" ht="47.25" customHeight="1">
      <c r="A22" s="267"/>
      <c r="B22" s="267"/>
      <c r="C22" s="33" t="s">
        <v>150</v>
      </c>
      <c r="D22" s="12">
        <v>0</v>
      </c>
      <c r="E22" s="269"/>
      <c r="F22" s="15"/>
      <c r="G22" s="44">
        <v>0</v>
      </c>
      <c r="H22" s="271"/>
      <c r="I22" s="44"/>
      <c r="J22" s="12">
        <v>0</v>
      </c>
      <c r="K22" s="273"/>
      <c r="L22" s="12"/>
      <c r="M22" s="12">
        <v>0</v>
      </c>
      <c r="N22" s="269"/>
      <c r="O22" s="15"/>
      <c r="P22" s="44">
        <v>0</v>
      </c>
      <c r="Q22" s="271"/>
      <c r="R22" s="44"/>
      <c r="S22" s="12">
        <v>0</v>
      </c>
      <c r="T22" s="273"/>
      <c r="U22" s="12"/>
      <c r="V22" s="12">
        <v>144100</v>
      </c>
      <c r="W22" s="269"/>
      <c r="X22" s="15"/>
      <c r="Y22" s="44">
        <v>131000</v>
      </c>
      <c r="Z22" s="271"/>
      <c r="AA22" s="44"/>
      <c r="AB22" s="12">
        <v>144100</v>
      </c>
      <c r="AC22" s="273"/>
      <c r="AD22" s="12"/>
      <c r="AE22" s="12">
        <v>131000</v>
      </c>
      <c r="AF22" s="269"/>
      <c r="AG22" s="15"/>
      <c r="AH22" s="44">
        <v>144100</v>
      </c>
      <c r="AI22" s="271"/>
      <c r="AJ22" s="44"/>
      <c r="AK22" s="12">
        <v>144100</v>
      </c>
      <c r="AL22" s="273"/>
      <c r="AM22" s="12"/>
      <c r="AN22" s="12">
        <f aca="true" t="shared" si="11" ref="AN22:AN35">AK22+AH22+AE22+AB22+Y22+V22+S22+P22+M22+J22+G22+D22</f>
        <v>838400</v>
      </c>
      <c r="AO22" s="273">
        <f t="shared" si="9"/>
        <v>0</v>
      </c>
      <c r="AP22" s="12">
        <f t="shared" si="10"/>
        <v>0</v>
      </c>
      <c r="AQ22" s="283">
        <f t="shared" si="7"/>
        <v>838400</v>
      </c>
      <c r="AS22" s="12"/>
      <c r="AT22" s="285"/>
      <c r="AU22" s="12"/>
      <c r="AV22" s="12"/>
      <c r="AW22" s="283">
        <f t="shared" si="8"/>
        <v>0</v>
      </c>
      <c r="AZ22" s="4">
        <v>838400</v>
      </c>
    </row>
    <row r="23" spans="1:52" ht="38.25" customHeight="1">
      <c r="A23" s="267"/>
      <c r="B23" s="267"/>
      <c r="C23" s="33" t="s">
        <v>151</v>
      </c>
      <c r="D23" s="12">
        <v>10905.9655</v>
      </c>
      <c r="E23" s="269"/>
      <c r="F23" s="15"/>
      <c r="G23" s="44">
        <v>10185.97</v>
      </c>
      <c r="H23" s="271"/>
      <c r="I23" s="44"/>
      <c r="J23" s="12">
        <v>8385.97</v>
      </c>
      <c r="K23" s="273"/>
      <c r="L23" s="12"/>
      <c r="M23" s="12">
        <v>9105.97</v>
      </c>
      <c r="N23" s="269"/>
      <c r="O23" s="15"/>
      <c r="P23" s="44">
        <v>15247.97</v>
      </c>
      <c r="Q23" s="271"/>
      <c r="R23" s="44"/>
      <c r="S23" s="12">
        <v>8385.97</v>
      </c>
      <c r="T23" s="273"/>
      <c r="U23" s="12"/>
      <c r="V23" s="12">
        <v>10545.97</v>
      </c>
      <c r="W23" s="269"/>
      <c r="X23" s="15"/>
      <c r="Y23" s="44">
        <v>10905.97</v>
      </c>
      <c r="Z23" s="271"/>
      <c r="AA23" s="44"/>
      <c r="AB23" s="12">
        <v>8385.97</v>
      </c>
      <c r="AC23" s="273"/>
      <c r="AD23" s="12"/>
      <c r="AE23" s="12">
        <v>8745.97</v>
      </c>
      <c r="AF23" s="269"/>
      <c r="AG23" s="15"/>
      <c r="AH23" s="44">
        <v>14167.97</v>
      </c>
      <c r="AI23" s="271"/>
      <c r="AJ23" s="44"/>
      <c r="AK23" s="12">
        <v>7665.97</v>
      </c>
      <c r="AL23" s="273"/>
      <c r="AM23" s="12"/>
      <c r="AN23" s="12">
        <f t="shared" si="11"/>
        <v>122635.6355</v>
      </c>
      <c r="AO23" s="273">
        <f t="shared" si="9"/>
        <v>0</v>
      </c>
      <c r="AP23" s="12">
        <f t="shared" si="10"/>
        <v>0</v>
      </c>
      <c r="AQ23" s="283">
        <f t="shared" si="7"/>
        <v>122635.6355</v>
      </c>
      <c r="AS23" s="12"/>
      <c r="AT23" s="285"/>
      <c r="AU23" s="12"/>
      <c r="AV23" s="12"/>
      <c r="AW23" s="283">
        <f t="shared" si="8"/>
        <v>0</v>
      </c>
      <c r="AZ23" s="4">
        <v>122635.6355</v>
      </c>
    </row>
    <row r="24" spans="1:52" ht="38.25" customHeight="1">
      <c r="A24" s="267"/>
      <c r="B24" s="267"/>
      <c r="C24" s="33" t="s">
        <v>152</v>
      </c>
      <c r="D24" s="12">
        <v>51000</v>
      </c>
      <c r="E24" s="269"/>
      <c r="F24" s="15"/>
      <c r="G24" s="44">
        <v>51000</v>
      </c>
      <c r="H24" s="271"/>
      <c r="I24" s="44"/>
      <c r="J24" s="12">
        <v>51000</v>
      </c>
      <c r="K24" s="273"/>
      <c r="L24" s="12"/>
      <c r="M24" s="12">
        <v>51000</v>
      </c>
      <c r="N24" s="269"/>
      <c r="O24" s="15"/>
      <c r="P24" s="44">
        <v>51000</v>
      </c>
      <c r="Q24" s="271"/>
      <c r="R24" s="44"/>
      <c r="S24" s="12">
        <v>51000</v>
      </c>
      <c r="T24" s="273"/>
      <c r="U24" s="12"/>
      <c r="V24" s="12">
        <v>3000</v>
      </c>
      <c r="W24" s="269"/>
      <c r="X24" s="15"/>
      <c r="Y24" s="44">
        <v>3000</v>
      </c>
      <c r="Z24" s="271"/>
      <c r="AA24" s="44"/>
      <c r="AB24" s="12">
        <v>3000</v>
      </c>
      <c r="AC24" s="273"/>
      <c r="AD24" s="12"/>
      <c r="AE24" s="12">
        <v>3000</v>
      </c>
      <c r="AF24" s="269"/>
      <c r="AG24" s="15"/>
      <c r="AH24" s="44">
        <v>3000</v>
      </c>
      <c r="AI24" s="271"/>
      <c r="AJ24" s="44"/>
      <c r="AK24" s="12">
        <v>3000</v>
      </c>
      <c r="AL24" s="273"/>
      <c r="AM24" s="12"/>
      <c r="AN24" s="12">
        <f t="shared" si="11"/>
        <v>324000</v>
      </c>
      <c r="AO24" s="273">
        <f t="shared" si="9"/>
        <v>0</v>
      </c>
      <c r="AP24" s="12">
        <f t="shared" si="10"/>
        <v>0</v>
      </c>
      <c r="AQ24" s="283">
        <f t="shared" si="7"/>
        <v>324000</v>
      </c>
      <c r="AS24" s="12"/>
      <c r="AT24" s="285"/>
      <c r="AU24" s="12"/>
      <c r="AV24" s="12"/>
      <c r="AW24" s="283">
        <f t="shared" si="8"/>
        <v>0</v>
      </c>
      <c r="AZ24" s="4">
        <v>324000</v>
      </c>
    </row>
    <row r="25" spans="1:52" ht="38.25" customHeight="1" thickBot="1">
      <c r="A25" s="267"/>
      <c r="B25" s="267"/>
      <c r="C25" s="28" t="s">
        <v>153</v>
      </c>
      <c r="D25" s="17">
        <v>57340.19</v>
      </c>
      <c r="E25" s="269"/>
      <c r="F25" s="15"/>
      <c r="G25" s="44">
        <v>45286.07</v>
      </c>
      <c r="H25" s="271"/>
      <c r="I25" s="44"/>
      <c r="J25" s="12">
        <v>45286.07</v>
      </c>
      <c r="K25" s="273"/>
      <c r="L25" s="12"/>
      <c r="M25" s="12">
        <v>46836.59</v>
      </c>
      <c r="N25" s="269"/>
      <c r="O25" s="15"/>
      <c r="P25" s="44">
        <v>46836.59</v>
      </c>
      <c r="Q25" s="271"/>
      <c r="R25" s="44"/>
      <c r="S25" s="12">
        <v>46836.59</v>
      </c>
      <c r="T25" s="273"/>
      <c r="U25" s="12"/>
      <c r="V25" s="12">
        <v>46836.59</v>
      </c>
      <c r="W25" s="269"/>
      <c r="X25" s="15"/>
      <c r="Y25" s="44">
        <v>46836.59</v>
      </c>
      <c r="Z25" s="271"/>
      <c r="AA25" s="44"/>
      <c r="AB25" s="12">
        <v>46836.59</v>
      </c>
      <c r="AC25" s="273"/>
      <c r="AD25" s="12"/>
      <c r="AE25" s="12">
        <v>46836.59</v>
      </c>
      <c r="AF25" s="269"/>
      <c r="AG25" s="15"/>
      <c r="AH25" s="44">
        <v>46836.59</v>
      </c>
      <c r="AI25" s="271"/>
      <c r="AJ25" s="44"/>
      <c r="AK25" s="12">
        <v>46836.59</v>
      </c>
      <c r="AL25" s="273"/>
      <c r="AM25" s="12"/>
      <c r="AN25" s="12">
        <f t="shared" si="11"/>
        <v>569441.6399999999</v>
      </c>
      <c r="AO25" s="273">
        <f t="shared" si="9"/>
        <v>0</v>
      </c>
      <c r="AP25" s="12">
        <f t="shared" si="10"/>
        <v>0</v>
      </c>
      <c r="AQ25" s="283">
        <f t="shared" si="7"/>
        <v>569441.6399999999</v>
      </c>
      <c r="AS25" s="12"/>
      <c r="AT25" s="285"/>
      <c r="AU25" s="12"/>
      <c r="AV25" s="12"/>
      <c r="AW25" s="283">
        <f t="shared" si="8"/>
        <v>0</v>
      </c>
      <c r="AZ25" s="4">
        <v>569441.6399999999</v>
      </c>
    </row>
    <row r="26" spans="1:49" ht="24" customHeight="1" thickTop="1">
      <c r="A26" s="266" t="s">
        <v>39</v>
      </c>
      <c r="B26" s="266" t="s">
        <v>38</v>
      </c>
      <c r="C26" s="27" t="s">
        <v>120</v>
      </c>
      <c r="D26" s="41">
        <f>D27+D28+D29+D30</f>
        <v>6370219</v>
      </c>
      <c r="E26" s="268">
        <f>Planilha2!E21</f>
        <v>365420.15101274586</v>
      </c>
      <c r="F26" s="35"/>
      <c r="G26" s="42">
        <f>G27+G28+G29+G30</f>
        <v>6294719</v>
      </c>
      <c r="H26" s="270">
        <f>Planilha2!F21</f>
        <v>365420.15101274586</v>
      </c>
      <c r="I26" s="40"/>
      <c r="J26" s="41">
        <f>J27+J28+J29+J30</f>
        <v>6348719</v>
      </c>
      <c r="K26" s="272">
        <f>Planilha2!G21</f>
        <v>365420.15101274586</v>
      </c>
      <c r="L26" s="22"/>
      <c r="M26" s="41">
        <f>M27+M28+M29+M30</f>
        <v>6233719</v>
      </c>
      <c r="N26" s="268">
        <f>Planilha2!H21</f>
        <v>365420.15101274586</v>
      </c>
      <c r="O26" s="35"/>
      <c r="P26" s="42">
        <f>P27+P28+P29</f>
        <v>6313719</v>
      </c>
      <c r="Q26" s="270">
        <f>Planilha2!I21</f>
        <v>365420.15101274586</v>
      </c>
      <c r="R26" s="40"/>
      <c r="S26" s="41">
        <f>S27+S28+S29</f>
        <v>6233719</v>
      </c>
      <c r="T26" s="272">
        <f>Planilha2!J21</f>
        <v>365420.15101274586</v>
      </c>
      <c r="U26" s="22"/>
      <c r="V26" s="41">
        <f>V27+V28+V29</f>
        <v>0</v>
      </c>
      <c r="W26" s="268">
        <f>Planilha2!K21</f>
        <v>365420.15101274586</v>
      </c>
      <c r="X26" s="35"/>
      <c r="Y26" s="42">
        <f>Y27+Y28+Y29</f>
        <v>0</v>
      </c>
      <c r="Z26" s="270">
        <f>Planilha2!L21</f>
        <v>365420.15101274586</v>
      </c>
      <c r="AA26" s="40"/>
      <c r="AB26" s="41">
        <f>AB27+AB28+AB29</f>
        <v>0</v>
      </c>
      <c r="AC26" s="272">
        <f>Planilha2!M21</f>
        <v>373932.3071684875</v>
      </c>
      <c r="AD26" s="22"/>
      <c r="AE26" s="41">
        <f>AE27+AE28+AE29</f>
        <v>0</v>
      </c>
      <c r="AF26" s="268">
        <f>Planilha2!N21</f>
        <v>374027.6091524875</v>
      </c>
      <c r="AG26" s="35"/>
      <c r="AH26" s="42">
        <f>AH27+AH28+AH29</f>
        <v>0</v>
      </c>
      <c r="AI26" s="270">
        <f>Planilha2!O21</f>
        <v>374027.6091524875</v>
      </c>
      <c r="AJ26" s="40"/>
      <c r="AK26" s="41">
        <f>AK27+AK28+AK29</f>
        <v>0</v>
      </c>
      <c r="AL26" s="272">
        <f>Planilha2!P21</f>
        <v>374027.6091524875</v>
      </c>
      <c r="AM26" s="22"/>
      <c r="AN26" s="41">
        <f>AK26+AH26+AE26+AB26+Y26+V26+S26+P26+M26+J26+G26+D26</f>
        <v>37794814</v>
      </c>
      <c r="AO26" s="272">
        <f>AL26+AI26+AF26+AC26+Z26+W26+T26+Q26+N26+K26+H26+E26</f>
        <v>4419376.342727916</v>
      </c>
      <c r="AP26" s="22">
        <f t="shared" si="10"/>
        <v>0</v>
      </c>
      <c r="AQ26" s="282">
        <f>AN26+AN31+AO26</f>
        <v>69020794.34272791</v>
      </c>
      <c r="AS26" s="286">
        <v>62102798</v>
      </c>
      <c r="AT26" s="284">
        <f>Planilha2!D21</f>
        <v>4419376.342727917</v>
      </c>
      <c r="AU26" s="272"/>
      <c r="AV26" s="272"/>
      <c r="AW26" s="282">
        <f>AV26+AU26+AT26+AS26</f>
        <v>66522174.342727914</v>
      </c>
    </row>
    <row r="27" spans="1:49" ht="24" customHeight="1">
      <c r="A27" s="267"/>
      <c r="B27" s="267"/>
      <c r="C27" s="29" t="s">
        <v>121</v>
      </c>
      <c r="D27" s="12">
        <v>1046819</v>
      </c>
      <c r="E27" s="269"/>
      <c r="F27" s="15"/>
      <c r="G27" s="12">
        <v>1046819</v>
      </c>
      <c r="H27" s="271"/>
      <c r="I27" s="44"/>
      <c r="J27" s="12">
        <v>1046819</v>
      </c>
      <c r="K27" s="273"/>
      <c r="L27" s="12"/>
      <c r="M27" s="12">
        <v>1046819</v>
      </c>
      <c r="N27" s="269"/>
      <c r="O27" s="15"/>
      <c r="P27" s="12">
        <v>1046819</v>
      </c>
      <c r="Q27" s="271"/>
      <c r="R27" s="44"/>
      <c r="S27" s="12">
        <v>1046819</v>
      </c>
      <c r="T27" s="273"/>
      <c r="U27" s="12"/>
      <c r="V27" s="12"/>
      <c r="W27" s="269"/>
      <c r="X27" s="15"/>
      <c r="Y27" s="44"/>
      <c r="Z27" s="271"/>
      <c r="AA27" s="44"/>
      <c r="AB27" s="12"/>
      <c r="AC27" s="273"/>
      <c r="AD27" s="12"/>
      <c r="AE27" s="12"/>
      <c r="AF27" s="269"/>
      <c r="AG27" s="15"/>
      <c r="AH27" s="44"/>
      <c r="AI27" s="271"/>
      <c r="AJ27" s="44"/>
      <c r="AK27" s="12"/>
      <c r="AL27" s="273"/>
      <c r="AM27" s="12"/>
      <c r="AN27" s="12">
        <f t="shared" si="11"/>
        <v>6280914</v>
      </c>
      <c r="AO27" s="273">
        <f>Plan2!AL27+Plan2!AI27+Plan2!AF27+Plan2!AC27+Plan2!Z27+Plan2!W27+Plan2!T27+Plan2!Q27+Plan2!N27+Plan2!K27+Plan2!H27+Plan2!E27</f>
        <v>0</v>
      </c>
      <c r="AP27" s="12">
        <f t="shared" si="10"/>
        <v>0</v>
      </c>
      <c r="AQ27" s="283"/>
      <c r="AS27" s="287"/>
      <c r="AT27" s="285"/>
      <c r="AU27" s="273"/>
      <c r="AV27" s="273"/>
      <c r="AW27" s="283"/>
    </row>
    <row r="28" spans="1:49" ht="24" customHeight="1">
      <c r="A28" s="267"/>
      <c r="B28" s="267"/>
      <c r="C28" s="29" t="s">
        <v>122</v>
      </c>
      <c r="D28" s="12">
        <v>5114800</v>
      </c>
      <c r="E28" s="269"/>
      <c r="F28" s="15"/>
      <c r="G28" s="12">
        <v>5114800</v>
      </c>
      <c r="H28" s="271"/>
      <c r="I28" s="44"/>
      <c r="J28" s="12">
        <v>5114800</v>
      </c>
      <c r="K28" s="273"/>
      <c r="L28" s="12"/>
      <c r="M28" s="12">
        <v>5114800</v>
      </c>
      <c r="N28" s="269"/>
      <c r="O28" s="15"/>
      <c r="P28" s="12">
        <v>5114800</v>
      </c>
      <c r="Q28" s="271"/>
      <c r="R28" s="44"/>
      <c r="S28" s="12">
        <v>5114800</v>
      </c>
      <c r="T28" s="273"/>
      <c r="U28" s="12"/>
      <c r="V28" s="12"/>
      <c r="W28" s="269"/>
      <c r="X28" s="15"/>
      <c r="Y28" s="44"/>
      <c r="Z28" s="271"/>
      <c r="AA28" s="44"/>
      <c r="AB28" s="12"/>
      <c r="AC28" s="273"/>
      <c r="AD28" s="12"/>
      <c r="AE28" s="12"/>
      <c r="AF28" s="269"/>
      <c r="AG28" s="15"/>
      <c r="AH28" s="44"/>
      <c r="AI28" s="271"/>
      <c r="AJ28" s="44"/>
      <c r="AK28" s="12"/>
      <c r="AL28" s="273"/>
      <c r="AM28" s="12"/>
      <c r="AN28" s="12">
        <f t="shared" si="11"/>
        <v>30688800</v>
      </c>
      <c r="AO28" s="273">
        <f>Plan2!AL28+Plan2!AI28+Plan2!AF28+Plan2!AC28+Plan2!Z28+Plan2!W28+Plan2!T28+Plan2!Q28+Plan2!N28+Plan2!K28+Plan2!H28+Plan2!E28</f>
        <v>0</v>
      </c>
      <c r="AP28" s="12">
        <f t="shared" si="10"/>
        <v>0</v>
      </c>
      <c r="AQ28" s="283"/>
      <c r="AS28" s="287"/>
      <c r="AT28" s="285"/>
      <c r="AU28" s="273"/>
      <c r="AV28" s="273"/>
      <c r="AW28" s="283"/>
    </row>
    <row r="29" spans="1:54" ht="24" customHeight="1">
      <c r="A29" s="267"/>
      <c r="B29" s="267"/>
      <c r="C29" s="28" t="s">
        <v>151</v>
      </c>
      <c r="D29" s="12">
        <v>178600</v>
      </c>
      <c r="E29" s="269"/>
      <c r="F29" s="15"/>
      <c r="G29" s="44">
        <v>98100</v>
      </c>
      <c r="H29" s="271"/>
      <c r="I29" s="44"/>
      <c r="J29" s="12">
        <v>152100</v>
      </c>
      <c r="K29" s="273"/>
      <c r="L29" s="12"/>
      <c r="M29" s="12">
        <v>72100</v>
      </c>
      <c r="N29" s="269"/>
      <c r="O29" s="15"/>
      <c r="P29" s="44">
        <v>152100</v>
      </c>
      <c r="Q29" s="271"/>
      <c r="R29" s="44"/>
      <c r="S29" s="12">
        <v>72100</v>
      </c>
      <c r="T29" s="273"/>
      <c r="U29" s="12"/>
      <c r="V29" s="12"/>
      <c r="W29" s="269"/>
      <c r="X29" s="15"/>
      <c r="Y29" s="44"/>
      <c r="Z29" s="271"/>
      <c r="AA29" s="44"/>
      <c r="AB29" s="12"/>
      <c r="AC29" s="273"/>
      <c r="AD29" s="12"/>
      <c r="AE29" s="12"/>
      <c r="AF29" s="269"/>
      <c r="AG29" s="15"/>
      <c r="AH29" s="44"/>
      <c r="AI29" s="271"/>
      <c r="AJ29" s="44"/>
      <c r="AK29" s="12"/>
      <c r="AL29" s="273"/>
      <c r="AM29" s="12"/>
      <c r="AN29" s="12">
        <f t="shared" si="11"/>
        <v>725100</v>
      </c>
      <c r="AO29" s="273">
        <f>Plan2!AL29+Plan2!AI29+Plan2!AF29+Plan2!AC29+Plan2!Z29+Plan2!W29+Plan2!T29+Plan2!Q29+Plan2!N29+Plan2!K29+Plan2!H29+Plan2!E29</f>
        <v>0</v>
      </c>
      <c r="AP29" s="12">
        <f t="shared" si="10"/>
        <v>0</v>
      </c>
      <c r="AQ29" s="283"/>
      <c r="AS29" s="287"/>
      <c r="AT29" s="285"/>
      <c r="AU29" s="273"/>
      <c r="AV29" s="273"/>
      <c r="AW29" s="283"/>
      <c r="AZ29" s="74">
        <v>4947001.2871</v>
      </c>
      <c r="BA29" s="74">
        <v>18539760.3</v>
      </c>
      <c r="BB29" s="74">
        <v>679500</v>
      </c>
    </row>
    <row r="30" spans="1:54" ht="24" customHeight="1">
      <c r="A30" s="267"/>
      <c r="B30" s="267"/>
      <c r="C30" s="28" t="s">
        <v>152</v>
      </c>
      <c r="D30" s="12">
        <v>30000</v>
      </c>
      <c r="E30" s="269"/>
      <c r="F30" s="15"/>
      <c r="G30" s="44">
        <v>35000</v>
      </c>
      <c r="H30" s="271"/>
      <c r="I30" s="44"/>
      <c r="J30" s="12">
        <v>35000</v>
      </c>
      <c r="K30" s="273"/>
      <c r="L30" s="12"/>
      <c r="M30" s="12"/>
      <c r="N30" s="269"/>
      <c r="O30" s="15"/>
      <c r="P30" s="44"/>
      <c r="Q30" s="271"/>
      <c r="R30" s="44"/>
      <c r="S30" s="12"/>
      <c r="T30" s="273"/>
      <c r="U30" s="12"/>
      <c r="V30" s="12"/>
      <c r="W30" s="269"/>
      <c r="X30" s="15"/>
      <c r="Y30" s="44"/>
      <c r="Z30" s="271"/>
      <c r="AA30" s="44"/>
      <c r="AB30" s="12"/>
      <c r="AC30" s="273"/>
      <c r="AD30" s="12"/>
      <c r="AE30" s="12"/>
      <c r="AF30" s="269"/>
      <c r="AG30" s="15"/>
      <c r="AH30" s="44"/>
      <c r="AI30" s="271"/>
      <c r="AJ30" s="44"/>
      <c r="AK30" s="12"/>
      <c r="AL30" s="273"/>
      <c r="AM30" s="12"/>
      <c r="AN30" s="12">
        <f t="shared" si="11"/>
        <v>100000</v>
      </c>
      <c r="AO30" s="273"/>
      <c r="AP30" s="12"/>
      <c r="AQ30" s="283"/>
      <c r="AS30" s="287"/>
      <c r="AT30" s="285"/>
      <c r="AU30" s="273"/>
      <c r="AV30" s="273"/>
      <c r="AW30" s="283"/>
      <c r="AZ30" s="74"/>
      <c r="BA30" s="74"/>
      <c r="BB30" s="74"/>
    </row>
    <row r="31" spans="1:49" ht="24" customHeight="1">
      <c r="A31" s="267"/>
      <c r="B31" s="267"/>
      <c r="C31" s="29" t="s">
        <v>123</v>
      </c>
      <c r="D31" s="111">
        <f>D32+D33+D35</f>
        <v>0</v>
      </c>
      <c r="E31" s="269"/>
      <c r="F31" s="15"/>
      <c r="G31" s="111">
        <f>G32+G33+G35</f>
        <v>0</v>
      </c>
      <c r="H31" s="271"/>
      <c r="I31" s="44"/>
      <c r="J31" s="111">
        <f>J32+J33+J35</f>
        <v>0</v>
      </c>
      <c r="K31" s="273"/>
      <c r="L31" s="12"/>
      <c r="M31" s="111">
        <f>M32+M33+M35</f>
        <v>0</v>
      </c>
      <c r="N31" s="269"/>
      <c r="O31" s="15"/>
      <c r="P31" s="111">
        <f>P32+P33+P35</f>
        <v>0</v>
      </c>
      <c r="Q31" s="271"/>
      <c r="R31" s="44"/>
      <c r="S31" s="111">
        <f>S32+S33+S35</f>
        <v>0</v>
      </c>
      <c r="T31" s="273"/>
      <c r="U31" s="12"/>
      <c r="V31" s="111">
        <f>V32+V33+V35</f>
        <v>4508184</v>
      </c>
      <c r="W31" s="269"/>
      <c r="X31" s="15"/>
      <c r="Y31" s="111">
        <f>Y32+Y33+Y35</f>
        <v>4427684</v>
      </c>
      <c r="Z31" s="271"/>
      <c r="AA31" s="44"/>
      <c r="AB31" s="111">
        <f>AB32+AB33+AB35</f>
        <v>4507684</v>
      </c>
      <c r="AC31" s="273"/>
      <c r="AD31" s="12"/>
      <c r="AE31" s="111">
        <f>AE32+AE33+AE35</f>
        <v>4427684</v>
      </c>
      <c r="AF31" s="269"/>
      <c r="AG31" s="15"/>
      <c r="AH31" s="111">
        <f>AH32+AH33+AH35</f>
        <v>4507684</v>
      </c>
      <c r="AI31" s="271"/>
      <c r="AJ31" s="44"/>
      <c r="AK31" s="66">
        <f>AK32+AK33+AK35</f>
        <v>4427684</v>
      </c>
      <c r="AL31" s="273"/>
      <c r="AM31" s="12"/>
      <c r="AN31" s="66">
        <f>AN32+AN33+AN35</f>
        <v>26806604</v>
      </c>
      <c r="AO31" s="273">
        <f>Plan2!AL31+Plan2!AI31+Plan2!AF31+Plan2!AC31+Plan2!Z31+Plan2!W31+Plan2!T31+Plan2!Q31+Plan2!N31+Plan2!K31+Plan2!H31+Plan2!E31</f>
        <v>0</v>
      </c>
      <c r="AP31" s="12">
        <f t="shared" si="10"/>
        <v>0</v>
      </c>
      <c r="AQ31" s="283"/>
      <c r="AS31" s="287"/>
      <c r="AT31" s="285"/>
      <c r="AU31" s="273"/>
      <c r="AV31" s="273"/>
      <c r="AW31" s="283"/>
    </row>
    <row r="32" spans="1:49" ht="24" customHeight="1">
      <c r="A32" s="267"/>
      <c r="B32" s="267"/>
      <c r="C32" s="29" t="s">
        <v>124</v>
      </c>
      <c r="D32" s="12">
        <v>0</v>
      </c>
      <c r="E32" s="269"/>
      <c r="F32" s="15"/>
      <c r="G32" s="44"/>
      <c r="H32" s="271"/>
      <c r="I32" s="44"/>
      <c r="J32" s="12"/>
      <c r="K32" s="273"/>
      <c r="L32" s="12"/>
      <c r="M32" s="12"/>
      <c r="N32" s="269"/>
      <c r="O32" s="15"/>
      <c r="P32" s="44"/>
      <c r="Q32" s="271"/>
      <c r="R32" s="44"/>
      <c r="S32" s="12"/>
      <c r="T32" s="273"/>
      <c r="U32" s="12"/>
      <c r="V32" s="12">
        <v>662784</v>
      </c>
      <c r="W32" s="269"/>
      <c r="X32" s="15"/>
      <c r="Y32" s="12">
        <v>662784</v>
      </c>
      <c r="Z32" s="271"/>
      <c r="AA32" s="44"/>
      <c r="AB32" s="12">
        <v>662784</v>
      </c>
      <c r="AC32" s="273"/>
      <c r="AD32" s="12"/>
      <c r="AE32" s="12">
        <v>662784</v>
      </c>
      <c r="AF32" s="269"/>
      <c r="AG32" s="15"/>
      <c r="AH32" s="12">
        <v>662784</v>
      </c>
      <c r="AI32" s="271"/>
      <c r="AJ32" s="44"/>
      <c r="AK32" s="12">
        <v>662784</v>
      </c>
      <c r="AL32" s="273"/>
      <c r="AM32" s="12"/>
      <c r="AN32" s="23">
        <f t="shared" si="11"/>
        <v>3976704</v>
      </c>
      <c r="AO32" s="273">
        <f>Plan2!AL32+Plan2!AI32+Plan2!AF32+Plan2!AC32+Plan2!Z32+Plan2!W32+Plan2!T32+Plan2!Q32+Plan2!N32+Plan2!K32+Plan2!H32+Plan2!E32</f>
        <v>0</v>
      </c>
      <c r="AP32" s="12">
        <f t="shared" si="10"/>
        <v>0</v>
      </c>
      <c r="AQ32" s="283"/>
      <c r="AS32" s="287"/>
      <c r="AT32" s="285"/>
      <c r="AU32" s="273"/>
      <c r="AV32" s="273"/>
      <c r="AW32" s="283"/>
    </row>
    <row r="33" spans="1:49" ht="24" customHeight="1">
      <c r="A33" s="267"/>
      <c r="B33" s="267"/>
      <c r="C33" s="36" t="s">
        <v>125</v>
      </c>
      <c r="D33" s="23">
        <v>0</v>
      </c>
      <c r="E33" s="269"/>
      <c r="F33" s="34"/>
      <c r="G33" s="47"/>
      <c r="H33" s="271"/>
      <c r="I33" s="47"/>
      <c r="J33" s="23"/>
      <c r="K33" s="273"/>
      <c r="L33" s="23"/>
      <c r="M33" s="23"/>
      <c r="N33" s="269"/>
      <c r="O33" s="34"/>
      <c r="P33" s="47"/>
      <c r="Q33" s="271"/>
      <c r="R33" s="47"/>
      <c r="S33" s="23"/>
      <c r="T33" s="273"/>
      <c r="U33" s="23"/>
      <c r="V33" s="23">
        <v>3692800</v>
      </c>
      <c r="W33" s="269"/>
      <c r="X33" s="34"/>
      <c r="Y33" s="23">
        <v>3692800</v>
      </c>
      <c r="Z33" s="271"/>
      <c r="AA33" s="47"/>
      <c r="AB33" s="23">
        <v>3692800</v>
      </c>
      <c r="AC33" s="273"/>
      <c r="AD33" s="23"/>
      <c r="AE33" s="23">
        <v>3692800</v>
      </c>
      <c r="AF33" s="269"/>
      <c r="AG33" s="34"/>
      <c r="AH33" s="23">
        <v>3692800</v>
      </c>
      <c r="AI33" s="271"/>
      <c r="AJ33" s="47"/>
      <c r="AK33" s="23">
        <v>3692800</v>
      </c>
      <c r="AL33" s="273"/>
      <c r="AM33" s="23"/>
      <c r="AN33" s="23">
        <f t="shared" si="11"/>
        <v>22156800</v>
      </c>
      <c r="AO33" s="273">
        <f>Plan2!AL33+Plan2!AI33+Plan2!AF33+Plan2!AC33+Plan2!Z33+Plan2!W33+Plan2!T33+Plan2!Q33+Plan2!N33+Plan2!K33+Plan2!H33+Plan2!E33</f>
        <v>0</v>
      </c>
      <c r="AP33" s="12">
        <f t="shared" si="10"/>
        <v>0</v>
      </c>
      <c r="AQ33" s="283"/>
      <c r="AS33" s="287"/>
      <c r="AT33" s="285"/>
      <c r="AU33" s="273"/>
      <c r="AV33" s="273"/>
      <c r="AW33" s="283"/>
    </row>
    <row r="34" spans="1:49" ht="24" customHeight="1">
      <c r="A34" s="267"/>
      <c r="B34" s="267"/>
      <c r="C34" s="28" t="s">
        <v>152</v>
      </c>
      <c r="D34" s="23"/>
      <c r="E34" s="269"/>
      <c r="F34" s="34"/>
      <c r="G34" s="47"/>
      <c r="H34" s="271"/>
      <c r="I34" s="47"/>
      <c r="J34" s="23"/>
      <c r="K34" s="273"/>
      <c r="L34" s="23"/>
      <c r="M34" s="23"/>
      <c r="N34" s="269"/>
      <c r="O34" s="34"/>
      <c r="P34" s="47"/>
      <c r="Q34" s="271"/>
      <c r="R34" s="47"/>
      <c r="S34" s="23"/>
      <c r="T34" s="273"/>
      <c r="U34" s="23"/>
      <c r="V34" s="23"/>
      <c r="W34" s="269"/>
      <c r="X34" s="34"/>
      <c r="Y34" s="23"/>
      <c r="Z34" s="271"/>
      <c r="AA34" s="47"/>
      <c r="AB34" s="23"/>
      <c r="AC34" s="273"/>
      <c r="AD34" s="23"/>
      <c r="AE34" s="23"/>
      <c r="AF34" s="269"/>
      <c r="AG34" s="34"/>
      <c r="AH34" s="23"/>
      <c r="AI34" s="271"/>
      <c r="AJ34" s="47"/>
      <c r="AK34" s="23"/>
      <c r="AL34" s="273"/>
      <c r="AM34" s="23"/>
      <c r="AN34" s="23"/>
      <c r="AO34" s="273"/>
      <c r="AP34" s="12"/>
      <c r="AQ34" s="283"/>
      <c r="AS34" s="287"/>
      <c r="AT34" s="285"/>
      <c r="AU34" s="273"/>
      <c r="AV34" s="273"/>
      <c r="AW34" s="283"/>
    </row>
    <row r="35" spans="1:49" ht="24" customHeight="1" thickBot="1">
      <c r="A35" s="267"/>
      <c r="B35" s="267"/>
      <c r="C35" s="28" t="s">
        <v>151</v>
      </c>
      <c r="D35" s="12">
        <v>0</v>
      </c>
      <c r="E35" s="269"/>
      <c r="F35" s="15"/>
      <c r="G35" s="44"/>
      <c r="H35" s="271"/>
      <c r="I35" s="44"/>
      <c r="J35" s="12"/>
      <c r="K35" s="273"/>
      <c r="L35" s="12"/>
      <c r="M35" s="12"/>
      <c r="N35" s="269"/>
      <c r="O35" s="15"/>
      <c r="P35" s="44"/>
      <c r="Q35" s="271"/>
      <c r="R35" s="44"/>
      <c r="S35" s="12"/>
      <c r="T35" s="273"/>
      <c r="U35" s="12"/>
      <c r="V35" s="12">
        <v>152600</v>
      </c>
      <c r="W35" s="269"/>
      <c r="X35" s="15"/>
      <c r="Y35" s="44">
        <v>72100</v>
      </c>
      <c r="Z35" s="271"/>
      <c r="AA35" s="44"/>
      <c r="AB35" s="12">
        <v>152100</v>
      </c>
      <c r="AC35" s="273"/>
      <c r="AD35" s="12"/>
      <c r="AE35" s="12">
        <v>72100</v>
      </c>
      <c r="AF35" s="269"/>
      <c r="AG35" s="15"/>
      <c r="AH35" s="44">
        <v>152100</v>
      </c>
      <c r="AI35" s="271"/>
      <c r="AJ35" s="44"/>
      <c r="AK35" s="12">
        <v>72100</v>
      </c>
      <c r="AL35" s="273"/>
      <c r="AM35" s="12"/>
      <c r="AN35" s="23">
        <f t="shared" si="11"/>
        <v>673100</v>
      </c>
      <c r="AO35" s="273">
        <f>Plan2!AL35+Plan2!AI35+Plan2!AF35+Plan2!AC35+Plan2!Z35+Plan2!W35+Plan2!T35+Plan2!Q35+Plan2!N35+Plan2!K35+Plan2!H35+Plan2!E35</f>
        <v>0</v>
      </c>
      <c r="AP35" s="12">
        <f t="shared" si="10"/>
        <v>0</v>
      </c>
      <c r="AQ35" s="283"/>
      <c r="AS35" s="287"/>
      <c r="AT35" s="285"/>
      <c r="AU35" s="273"/>
      <c r="AV35" s="273"/>
      <c r="AW35" s="283"/>
    </row>
    <row r="36" spans="1:49" ht="33" customHeight="1" thickBot="1" thickTop="1">
      <c r="A36" s="57"/>
      <c r="B36" s="57" t="s">
        <v>68</v>
      </c>
      <c r="C36" s="37" t="s">
        <v>67</v>
      </c>
      <c r="D36" s="38">
        <f>(Planilha1!F28+30000)-F36</f>
        <v>390116.9537166668</v>
      </c>
      <c r="E36" s="38">
        <v>1531268.04</v>
      </c>
      <c r="F36" s="25">
        <f>520000+87000</f>
        <v>607000</v>
      </c>
      <c r="G36" s="38">
        <f>(Planilha1!G28+30000)-I36</f>
        <v>512590.5557166666</v>
      </c>
      <c r="H36" s="43">
        <v>1548979.05</v>
      </c>
      <c r="I36" s="38">
        <v>12000</v>
      </c>
      <c r="J36" s="38">
        <f>Planilha1!H28-L36</f>
        <v>393081.5557166667</v>
      </c>
      <c r="K36" s="25">
        <v>1532488.5</v>
      </c>
      <c r="L36" s="25">
        <f>7500+53000</f>
        <v>60500</v>
      </c>
      <c r="M36" s="38">
        <f>Planilha1!I28</f>
        <v>393417.13571666664</v>
      </c>
      <c r="N36" s="38">
        <v>1529979.05</v>
      </c>
      <c r="O36" s="25"/>
      <c r="P36" s="38">
        <f>Planilha1!J28</f>
        <v>395350.0402166667</v>
      </c>
      <c r="Q36" s="43">
        <v>1529979.05</v>
      </c>
      <c r="R36" s="43"/>
      <c r="S36" s="38">
        <f>Planilha1!K28</f>
        <v>382633.29621666664</v>
      </c>
      <c r="T36" s="25">
        <v>1549957.88</v>
      </c>
      <c r="U36" s="25"/>
      <c r="V36" s="38">
        <f>Planilha1!L28</f>
        <v>393637.79705</v>
      </c>
      <c r="W36" s="38">
        <v>1532912.08</v>
      </c>
      <c r="X36" s="25"/>
      <c r="Y36" s="38">
        <f>Planilha1!M28</f>
        <v>383025.39255000005</v>
      </c>
      <c r="Z36" s="43">
        <v>1530054.49</v>
      </c>
      <c r="AA36" s="43"/>
      <c r="AB36" s="38">
        <f>Planilha1!N28</f>
        <v>476895.39255000005</v>
      </c>
      <c r="AC36" s="25">
        <v>1563153.42</v>
      </c>
      <c r="AD36" s="25"/>
      <c r="AE36" s="38">
        <f>Planilha1!O28</f>
        <v>474295.39255000005</v>
      </c>
      <c r="AF36" s="38">
        <v>1563535.54</v>
      </c>
      <c r="AG36" s="25"/>
      <c r="AH36" s="38">
        <f>Planilha1!P28</f>
        <v>472995.39255000005</v>
      </c>
      <c r="AI36" s="43">
        <v>1563535.54</v>
      </c>
      <c r="AJ36" s="43">
        <v>0</v>
      </c>
      <c r="AK36" s="38">
        <f>Planilha1!Q28</f>
        <v>338962.38255000004</v>
      </c>
      <c r="AL36" s="25">
        <v>1563535.54</v>
      </c>
      <c r="AM36" s="25">
        <v>0</v>
      </c>
      <c r="AN36" s="25">
        <f>AK36+AH36+AE36+AB36+Y36+V36+S36+P36+M36+J36+G36+D36</f>
        <v>5007001.2871</v>
      </c>
      <c r="AO36" s="25">
        <f>AL36+AI36+AF36+AC36+Z36+W36+T36+Q36+N36+K36+H36+E36</f>
        <v>18539378.18</v>
      </c>
      <c r="AP36" s="25">
        <f t="shared" si="10"/>
        <v>679500</v>
      </c>
      <c r="AQ36" s="72">
        <f>AP36+AO36+AN36</f>
        <v>24225879.467100002</v>
      </c>
      <c r="AS36" s="25">
        <f>Planilha1!D28-AP36</f>
        <v>4947001.2871</v>
      </c>
      <c r="AT36" s="25">
        <f>Planilha2!D22</f>
        <v>18539378.18676946</v>
      </c>
      <c r="AU36" s="25"/>
      <c r="AV36" s="25"/>
      <c r="AW36" s="72">
        <f>AV36+AU36+AT36+AS36</f>
        <v>23486379.473869458</v>
      </c>
    </row>
    <row r="37" spans="1:49" ht="30" customHeight="1" thickBot="1" thickTop="1">
      <c r="A37" s="288" t="s">
        <v>56</v>
      </c>
      <c r="B37" s="289"/>
      <c r="C37" s="290"/>
      <c r="D37" s="62">
        <f aca="true" t="shared" si="12" ref="D37:AP37">D36+D31+D26+D20+D17+D15+D19+D14+D13+D12+D11+D10+D9+D8</f>
        <v>9999895.81692121</v>
      </c>
      <c r="E37" s="62">
        <f t="shared" si="12"/>
        <v>3459165.7869989704</v>
      </c>
      <c r="F37" s="62">
        <f t="shared" si="12"/>
        <v>607000</v>
      </c>
      <c r="G37" s="62">
        <f t="shared" si="12"/>
        <v>12901852.229633331</v>
      </c>
      <c r="H37" s="62">
        <f t="shared" si="12"/>
        <v>3500753.2072989703</v>
      </c>
      <c r="I37" s="62">
        <f t="shared" si="12"/>
        <v>12000</v>
      </c>
      <c r="J37" s="62">
        <f t="shared" si="12"/>
        <v>12374121.799633332</v>
      </c>
      <c r="K37" s="62">
        <f t="shared" si="12"/>
        <v>3460386.2469989704</v>
      </c>
      <c r="L37" s="62">
        <f t="shared" si="12"/>
        <v>60500</v>
      </c>
      <c r="M37" s="62">
        <f t="shared" si="12"/>
        <v>13699349.616299998</v>
      </c>
      <c r="N37" s="62">
        <f t="shared" si="12"/>
        <v>3457876.7969989707</v>
      </c>
      <c r="O37" s="62">
        <f t="shared" si="12"/>
        <v>0</v>
      </c>
      <c r="P37" s="62">
        <f t="shared" si="12"/>
        <v>9855611.30309167</v>
      </c>
      <c r="Q37" s="62">
        <f t="shared" si="12"/>
        <v>3457876.7969989707</v>
      </c>
      <c r="R37" s="62">
        <f t="shared" si="12"/>
        <v>0</v>
      </c>
      <c r="S37" s="62">
        <f t="shared" si="12"/>
        <v>9959723.106591668</v>
      </c>
      <c r="T37" s="62">
        <f t="shared" si="12"/>
        <v>3528534.0652589393</v>
      </c>
      <c r="U37" s="62">
        <f t="shared" si="12"/>
        <v>0</v>
      </c>
      <c r="V37" s="62">
        <f t="shared" si="12"/>
        <v>8425394.977425002</v>
      </c>
      <c r="W37" s="62">
        <f t="shared" si="12"/>
        <v>3462348.2145183184</v>
      </c>
      <c r="X37" s="62">
        <f t="shared" si="12"/>
        <v>0</v>
      </c>
      <c r="Y37" s="62">
        <f t="shared" si="12"/>
        <v>7540831.417925001</v>
      </c>
      <c r="Z37" s="62">
        <f t="shared" si="12"/>
        <v>3459490.623458349</v>
      </c>
      <c r="AA37" s="62">
        <f t="shared" si="12"/>
        <v>0</v>
      </c>
      <c r="AB37" s="62">
        <f t="shared" si="12"/>
        <v>8337522.201258334</v>
      </c>
      <c r="AC37" s="62">
        <f t="shared" si="12"/>
        <v>3544007.5590188885</v>
      </c>
      <c r="AD37" s="62">
        <f t="shared" si="12"/>
        <v>0</v>
      </c>
      <c r="AE37" s="62">
        <f t="shared" si="12"/>
        <v>7980427.991258334</v>
      </c>
      <c r="AF37" s="62">
        <f t="shared" si="12"/>
        <v>3545731.1052668896</v>
      </c>
      <c r="AG37" s="62">
        <f t="shared" si="12"/>
        <v>150000</v>
      </c>
      <c r="AH37" s="62">
        <f t="shared" si="12"/>
        <v>8211015.811758332</v>
      </c>
      <c r="AI37" s="62">
        <f t="shared" si="12"/>
        <v>3545731.1052668896</v>
      </c>
      <c r="AJ37" s="62">
        <f t="shared" si="12"/>
        <v>150000</v>
      </c>
      <c r="AK37" s="62">
        <f t="shared" si="12"/>
        <v>7707172.5784249995</v>
      </c>
      <c r="AL37" s="62">
        <f t="shared" si="12"/>
        <v>3645731.1052668896</v>
      </c>
      <c r="AM37" s="62">
        <f t="shared" si="12"/>
        <v>150000</v>
      </c>
      <c r="AN37" s="62">
        <f>AK37+AH37+AE37+AB37+Y37+V37+S37+P37+M37+J37+G37+D37</f>
        <v>116992918.85022122</v>
      </c>
      <c r="AO37" s="62">
        <f>AL37+AI37+AF37+AC37+Z37+W37+T37+Q37+N37+K37+H37+E37</f>
        <v>42067632.61335002</v>
      </c>
      <c r="AP37" s="62">
        <f t="shared" si="12"/>
        <v>1129500</v>
      </c>
      <c r="AQ37" s="62">
        <f>AQ36+AQ26+AQ20+AQ17+AQ15+AQ19+AQ14+AQ13+AQ12+AQ11+AQ10+AQ9+AQ8+AQ18</f>
        <v>160190051.46357122</v>
      </c>
      <c r="AS37" s="62">
        <f>AS36+AS26+AS20+AS19+AS17+AS15+AS14+AS13+AS12+AS11+AS10+AS9+AS8</f>
        <v>114434298.82534692</v>
      </c>
      <c r="AT37" s="62">
        <f>AT36+AT26+AT20+AT19+AT17+AT15+AT14+AT12+AT13+AT11+AT10+AT9+AT8</f>
        <v>42067632.61799953</v>
      </c>
      <c r="AU37" s="62"/>
      <c r="AV37" s="62"/>
      <c r="AW37" s="62"/>
    </row>
    <row r="38" spans="1:50" s="10" customFormat="1" ht="32.25" customHeight="1" thickTop="1">
      <c r="A38" s="58"/>
      <c r="B38" s="58"/>
      <c r="D38" s="10" t="b">
        <f aca="true" t="shared" si="13" ref="D38:AM38">D37=D3</f>
        <v>0</v>
      </c>
      <c r="E38" s="10" t="b">
        <f t="shared" si="13"/>
        <v>1</v>
      </c>
      <c r="F38" s="10" t="b">
        <f t="shared" si="13"/>
        <v>1</v>
      </c>
      <c r="G38" s="10" t="b">
        <f t="shared" si="13"/>
        <v>0</v>
      </c>
      <c r="H38" s="10" t="b">
        <f t="shared" si="13"/>
        <v>1</v>
      </c>
      <c r="I38" s="10" t="b">
        <f t="shared" si="13"/>
        <v>1</v>
      </c>
      <c r="J38" s="10" t="b">
        <f t="shared" si="13"/>
        <v>0</v>
      </c>
      <c r="K38" s="10" t="b">
        <f t="shared" si="13"/>
        <v>1</v>
      </c>
      <c r="L38" s="10" t="b">
        <f t="shared" si="13"/>
        <v>1</v>
      </c>
      <c r="M38" s="10" t="b">
        <f t="shared" si="13"/>
        <v>0</v>
      </c>
      <c r="N38" s="10" t="b">
        <f t="shared" si="13"/>
        <v>1</v>
      </c>
      <c r="O38" s="10" t="b">
        <f t="shared" si="13"/>
        <v>1</v>
      </c>
      <c r="P38" s="10" t="b">
        <f t="shared" si="13"/>
        <v>0</v>
      </c>
      <c r="Q38" s="10" t="b">
        <f t="shared" si="13"/>
        <v>1</v>
      </c>
      <c r="R38" s="10" t="b">
        <f t="shared" si="13"/>
        <v>1</v>
      </c>
      <c r="S38" s="10" t="b">
        <f t="shared" si="13"/>
        <v>0</v>
      </c>
      <c r="T38" s="10" t="b">
        <f t="shared" si="13"/>
        <v>1</v>
      </c>
      <c r="U38" s="10" t="b">
        <f t="shared" si="13"/>
        <v>1</v>
      </c>
      <c r="V38" s="10" t="b">
        <f t="shared" si="13"/>
        <v>0</v>
      </c>
      <c r="W38" s="10" t="b">
        <f t="shared" si="13"/>
        <v>1</v>
      </c>
      <c r="X38" s="10" t="b">
        <f t="shared" si="13"/>
        <v>1</v>
      </c>
      <c r="Y38" s="10" t="b">
        <f t="shared" si="13"/>
        <v>0</v>
      </c>
      <c r="Z38" s="10" t="b">
        <f t="shared" si="13"/>
        <v>1</v>
      </c>
      <c r="AA38" s="10" t="b">
        <f t="shared" si="13"/>
        <v>1</v>
      </c>
      <c r="AB38" s="10" t="b">
        <f t="shared" si="13"/>
        <v>0</v>
      </c>
      <c r="AC38" s="10" t="b">
        <f t="shared" si="13"/>
        <v>0</v>
      </c>
      <c r="AD38" s="10" t="b">
        <f t="shared" si="13"/>
        <v>1</v>
      </c>
      <c r="AE38" s="10" t="b">
        <f t="shared" si="13"/>
        <v>0</v>
      </c>
      <c r="AF38" s="10" t="b">
        <f t="shared" si="13"/>
        <v>1</v>
      </c>
      <c r="AG38" s="10" t="b">
        <f t="shared" si="13"/>
        <v>1</v>
      </c>
      <c r="AH38" s="10" t="b">
        <f t="shared" si="13"/>
        <v>0</v>
      </c>
      <c r="AI38" s="10" t="b">
        <f t="shared" si="13"/>
        <v>1</v>
      </c>
      <c r="AJ38" s="10" t="b">
        <f t="shared" si="13"/>
        <v>1</v>
      </c>
      <c r="AK38" s="10" t="b">
        <f t="shared" si="13"/>
        <v>0</v>
      </c>
      <c r="AL38" s="10" t="b">
        <f t="shared" si="13"/>
        <v>1</v>
      </c>
      <c r="AM38" s="10" t="b">
        <f t="shared" si="13"/>
        <v>1</v>
      </c>
      <c r="AN38" s="291" t="s">
        <v>56</v>
      </c>
      <c r="AO38" s="291"/>
      <c r="AP38" s="291"/>
      <c r="AQ38" s="73"/>
      <c r="AS38" s="74">
        <f>AP36+AN36</f>
        <v>5686501.2871</v>
      </c>
      <c r="AX38" s="10" t="s">
        <v>70</v>
      </c>
    </row>
    <row r="39" spans="1:50" s="10" customFormat="1" ht="32.25" customHeight="1">
      <c r="A39" s="58"/>
      <c r="B39" s="58"/>
      <c r="D39" s="110">
        <f>(D37+F37)-D3</f>
        <v>902321.9999999963</v>
      </c>
      <c r="E39" s="110">
        <f>E37-E3</f>
        <v>0</v>
      </c>
      <c r="F39" s="73">
        <f>D36+F36</f>
        <v>997116.9537166668</v>
      </c>
      <c r="AL39" s="10">
        <f>3360000+14400</f>
        <v>3374400</v>
      </c>
      <c r="AN39" s="292">
        <f>AN37+AO37+AP37</f>
        <v>160190051.46357125</v>
      </c>
      <c r="AO39" s="293"/>
      <c r="AP39" s="293"/>
      <c r="AS39" s="74"/>
      <c r="AX39" s="10" t="s">
        <v>71</v>
      </c>
    </row>
    <row r="40" spans="1:45" s="10" customFormat="1" ht="12.75">
      <c r="A40" s="58"/>
      <c r="B40" s="58"/>
      <c r="AN40" s="73">
        <f>163067563.76-AN37</f>
        <v>46074644.909778774</v>
      </c>
      <c r="AQ40" s="74">
        <f>23534378.88+55000</f>
        <v>23589378.88</v>
      </c>
      <c r="AS40" s="74"/>
    </row>
    <row r="41" spans="1:45" s="10" customFormat="1" ht="12.75">
      <c r="A41" s="58"/>
      <c r="B41" s="58"/>
      <c r="AO41" s="10">
        <v>9750000</v>
      </c>
      <c r="AS41" s="74"/>
    </row>
    <row r="42" spans="1:45" s="10" customFormat="1" ht="11.25">
      <c r="A42" s="58"/>
      <c r="B42" s="58"/>
      <c r="AO42" s="10">
        <f>AO41-8800000</f>
        <v>950000</v>
      </c>
      <c r="AS42" s="73"/>
    </row>
    <row r="43" spans="1:43" s="10" customFormat="1" ht="11.25">
      <c r="A43" s="58"/>
      <c r="B43" s="58"/>
      <c r="AN43" s="73"/>
      <c r="AO43" s="73"/>
      <c r="AP43" s="73"/>
      <c r="AQ43" s="73">
        <f>AQ37-205152344.5</f>
        <v>-44962293.03642878</v>
      </c>
    </row>
    <row r="44" spans="1:2" s="10" customFormat="1" ht="11.25">
      <c r="A44" s="58"/>
      <c r="B44" s="58"/>
    </row>
    <row r="45" spans="1:2" s="10" customFormat="1" ht="11.25">
      <c r="A45" s="58"/>
      <c r="B45" s="58"/>
    </row>
    <row r="46" spans="1:45" s="10" customFormat="1" ht="12.75">
      <c r="A46" s="58"/>
      <c r="B46" s="58"/>
      <c r="AN46" s="74">
        <v>163105099.51378033</v>
      </c>
      <c r="AO46" s="74">
        <v>41547244.980000004</v>
      </c>
      <c r="AS46" s="73"/>
    </row>
    <row r="47" spans="1:2" s="10" customFormat="1" ht="15" customHeight="1">
      <c r="A47" s="58"/>
      <c r="B47" s="58"/>
    </row>
    <row r="48" spans="1:40" s="10" customFormat="1" ht="11.25">
      <c r="A48" s="58"/>
      <c r="B48" s="58"/>
      <c r="AN48" s="73">
        <f>AN46-AN37</f>
        <v>46112180.66355911</v>
      </c>
    </row>
    <row r="49" spans="1:2" s="10" customFormat="1" ht="11.25">
      <c r="A49" s="58"/>
      <c r="B49" s="58"/>
    </row>
    <row r="50" spans="1:2" s="10" customFormat="1" ht="11.25">
      <c r="A50" s="58"/>
      <c r="B50" s="58"/>
    </row>
    <row r="51" spans="1:2" s="10" customFormat="1" ht="11.25">
      <c r="A51" s="58"/>
      <c r="B51" s="58"/>
    </row>
    <row r="52" spans="1:2" s="10" customFormat="1" ht="11.25">
      <c r="A52" s="58"/>
      <c r="B52" s="58"/>
    </row>
    <row r="53" spans="1:2" s="10" customFormat="1" ht="11.25">
      <c r="A53" s="58"/>
      <c r="B53" s="58"/>
    </row>
    <row r="54" spans="1:2" s="10" customFormat="1" ht="11.25">
      <c r="A54" s="58"/>
      <c r="B54" s="58"/>
    </row>
    <row r="55" spans="1:2" s="10" customFormat="1" ht="11.25">
      <c r="A55" s="58"/>
      <c r="B55" s="58"/>
    </row>
    <row r="56" spans="1:2" s="10" customFormat="1" ht="11.25">
      <c r="A56" s="58"/>
      <c r="B56" s="58"/>
    </row>
    <row r="57" spans="1:2" s="10" customFormat="1" ht="11.25">
      <c r="A57" s="58"/>
      <c r="B57" s="58"/>
    </row>
    <row r="58" spans="1:2" s="10" customFormat="1" ht="11.25">
      <c r="A58" s="58"/>
      <c r="B58" s="58"/>
    </row>
    <row r="59" spans="1:2" s="10" customFormat="1" ht="11.25">
      <c r="A59" s="58"/>
      <c r="B59" s="58"/>
    </row>
    <row r="60" spans="1:2" s="10" customFormat="1" ht="11.25">
      <c r="A60" s="58"/>
      <c r="B60" s="58"/>
    </row>
    <row r="61" spans="1:2" s="10" customFormat="1" ht="11.25">
      <c r="A61" s="58"/>
      <c r="B61" s="58"/>
    </row>
    <row r="62" spans="1:2" s="10" customFormat="1" ht="11.25">
      <c r="A62" s="58"/>
      <c r="B62" s="58"/>
    </row>
    <row r="63" spans="1:2" s="10" customFormat="1" ht="11.25">
      <c r="A63" s="58"/>
      <c r="B63" s="58"/>
    </row>
    <row r="64" spans="1:2" s="10" customFormat="1" ht="11.25">
      <c r="A64" s="58"/>
      <c r="B64" s="58"/>
    </row>
    <row r="65" spans="1:2" s="10" customFormat="1" ht="11.25">
      <c r="A65" s="58"/>
      <c r="B65" s="58"/>
    </row>
    <row r="66" spans="1:2" s="10" customFormat="1" ht="11.25">
      <c r="A66" s="58"/>
      <c r="B66" s="58"/>
    </row>
    <row r="67" spans="1:2" s="10" customFormat="1" ht="11.25">
      <c r="A67" s="58"/>
      <c r="B67" s="58"/>
    </row>
    <row r="68" spans="1:2" s="10" customFormat="1" ht="11.25">
      <c r="A68" s="58"/>
      <c r="B68" s="58"/>
    </row>
    <row r="69" spans="1:2" s="10" customFormat="1" ht="11.25">
      <c r="A69" s="58"/>
      <c r="B69" s="58"/>
    </row>
    <row r="70" spans="1:2" s="10" customFormat="1" ht="11.25">
      <c r="A70" s="58"/>
      <c r="B70" s="58"/>
    </row>
    <row r="71" spans="1:2" s="10" customFormat="1" ht="11.25">
      <c r="A71" s="58"/>
      <c r="B71" s="58"/>
    </row>
    <row r="72" spans="1:2" s="10" customFormat="1" ht="11.25">
      <c r="A72" s="58"/>
      <c r="B72" s="58"/>
    </row>
    <row r="73" spans="1:2" s="10" customFormat="1" ht="11.25">
      <c r="A73" s="58"/>
      <c r="B73" s="58"/>
    </row>
    <row r="74" spans="1:2" s="10" customFormat="1" ht="11.25">
      <c r="A74" s="58"/>
      <c r="B74" s="58"/>
    </row>
    <row r="75" spans="1:2" s="10" customFormat="1" ht="11.25">
      <c r="A75" s="58"/>
      <c r="B75" s="58"/>
    </row>
    <row r="76" spans="1:2" s="10" customFormat="1" ht="11.25">
      <c r="A76" s="58"/>
      <c r="B76" s="58"/>
    </row>
    <row r="77" spans="1:2" s="10" customFormat="1" ht="11.25">
      <c r="A77" s="58"/>
      <c r="B77" s="58"/>
    </row>
    <row r="78" spans="1:2" s="10" customFormat="1" ht="11.25">
      <c r="A78" s="58"/>
      <c r="B78" s="58"/>
    </row>
    <row r="79" spans="1:2" s="10" customFormat="1" ht="11.25">
      <c r="A79" s="58"/>
      <c r="B79" s="58"/>
    </row>
    <row r="80" spans="1:2" s="10" customFormat="1" ht="11.25">
      <c r="A80" s="58"/>
      <c r="B80" s="58"/>
    </row>
    <row r="81" spans="1:2" s="10" customFormat="1" ht="11.25">
      <c r="A81" s="58"/>
      <c r="B81" s="58"/>
    </row>
    <row r="82" spans="1:2" s="10" customFormat="1" ht="11.25">
      <c r="A82" s="58"/>
      <c r="B82" s="58"/>
    </row>
    <row r="83" spans="1:2" s="10" customFormat="1" ht="11.25">
      <c r="A83" s="58"/>
      <c r="B83" s="58"/>
    </row>
    <row r="84" spans="1:2" s="10" customFormat="1" ht="11.25">
      <c r="A84" s="58"/>
      <c r="B84" s="58"/>
    </row>
    <row r="85" spans="1:2" s="10" customFormat="1" ht="11.25">
      <c r="A85" s="58"/>
      <c r="B85" s="58"/>
    </row>
    <row r="86" spans="1:2" s="10" customFormat="1" ht="11.25">
      <c r="A86" s="58"/>
      <c r="B86" s="58"/>
    </row>
    <row r="87" spans="1:2" s="10" customFormat="1" ht="11.25">
      <c r="A87" s="58"/>
      <c r="B87" s="58"/>
    </row>
    <row r="88" spans="1:2" s="10" customFormat="1" ht="11.25">
      <c r="A88" s="58"/>
      <c r="B88" s="58"/>
    </row>
    <row r="89" spans="1:2" s="10" customFormat="1" ht="11.25">
      <c r="A89" s="58"/>
      <c r="B89" s="58"/>
    </row>
    <row r="90" spans="1:2" s="10" customFormat="1" ht="11.25">
      <c r="A90" s="58"/>
      <c r="B90" s="58"/>
    </row>
    <row r="91" spans="1:2" s="10" customFormat="1" ht="11.25">
      <c r="A91" s="58"/>
      <c r="B91" s="58"/>
    </row>
    <row r="92" spans="1:2" s="10" customFormat="1" ht="11.25">
      <c r="A92" s="58"/>
      <c r="B92" s="58"/>
    </row>
    <row r="93" spans="1:2" s="10" customFormat="1" ht="11.25">
      <c r="A93" s="58"/>
      <c r="B93" s="58"/>
    </row>
    <row r="94" spans="1:2" s="10" customFormat="1" ht="11.25">
      <c r="A94" s="58"/>
      <c r="B94" s="58"/>
    </row>
    <row r="95" spans="1:2" s="10" customFormat="1" ht="11.25">
      <c r="A95" s="58"/>
      <c r="B95" s="58"/>
    </row>
    <row r="96" spans="1:2" s="10" customFormat="1" ht="11.25">
      <c r="A96" s="58"/>
      <c r="B96" s="58"/>
    </row>
    <row r="97" spans="1:2" s="10" customFormat="1" ht="11.25">
      <c r="A97" s="58"/>
      <c r="B97" s="58"/>
    </row>
    <row r="98" spans="1:2" s="10" customFormat="1" ht="11.25">
      <c r="A98" s="58"/>
      <c r="B98" s="58"/>
    </row>
    <row r="99" spans="1:2" s="10" customFormat="1" ht="11.25">
      <c r="A99" s="58"/>
      <c r="B99" s="58"/>
    </row>
    <row r="100" spans="1:2" s="10" customFormat="1" ht="11.25">
      <c r="A100" s="58"/>
      <c r="B100" s="58"/>
    </row>
    <row r="101" spans="1:2" s="10" customFormat="1" ht="11.25">
      <c r="A101" s="58"/>
      <c r="B101" s="58"/>
    </row>
    <row r="102" spans="1:2" s="10" customFormat="1" ht="11.25">
      <c r="A102" s="58"/>
      <c r="B102" s="58"/>
    </row>
    <row r="103" spans="1:2" s="10" customFormat="1" ht="11.25">
      <c r="A103" s="58"/>
      <c r="B103" s="58"/>
    </row>
    <row r="104" spans="1:2" s="10" customFormat="1" ht="11.25">
      <c r="A104" s="58"/>
      <c r="B104" s="58"/>
    </row>
    <row r="105" spans="1:2" s="10" customFormat="1" ht="11.25">
      <c r="A105" s="58"/>
      <c r="B105" s="58"/>
    </row>
    <row r="106" spans="1:2" s="10" customFormat="1" ht="11.25">
      <c r="A106" s="58"/>
      <c r="B106" s="58"/>
    </row>
    <row r="107" spans="1:2" s="10" customFormat="1" ht="52.5" customHeight="1">
      <c r="A107" s="58"/>
      <c r="B107" s="58"/>
    </row>
    <row r="108" spans="1:2" s="10" customFormat="1" ht="33" customHeight="1">
      <c r="A108" s="58"/>
      <c r="B108" s="58"/>
    </row>
    <row r="109" spans="1:2" s="10" customFormat="1" ht="11.25">
      <c r="A109" s="58"/>
      <c r="B109" s="58"/>
    </row>
    <row r="110" spans="1:2" s="10" customFormat="1" ht="11.25">
      <c r="A110" s="58"/>
      <c r="B110" s="58"/>
    </row>
    <row r="111" spans="1:2" s="10" customFormat="1" ht="11.25">
      <c r="A111" s="58"/>
      <c r="B111" s="58"/>
    </row>
    <row r="112" spans="1:2" s="10" customFormat="1" ht="11.25">
      <c r="A112" s="58"/>
      <c r="B112" s="58"/>
    </row>
    <row r="113" spans="1:2" s="10" customFormat="1" ht="11.25">
      <c r="A113" s="58"/>
      <c r="B113" s="58"/>
    </row>
    <row r="114" spans="1:2" s="10" customFormat="1" ht="11.25">
      <c r="A114" s="58"/>
      <c r="B114" s="58"/>
    </row>
    <row r="115" spans="1:2" s="10" customFormat="1" ht="11.25">
      <c r="A115" s="58"/>
      <c r="B115" s="58"/>
    </row>
    <row r="116" spans="1:2" s="10" customFormat="1" ht="11.25">
      <c r="A116" s="58"/>
      <c r="B116" s="58"/>
    </row>
    <row r="117" spans="1:2" s="10" customFormat="1" ht="11.25">
      <c r="A117" s="58"/>
      <c r="B117" s="58"/>
    </row>
    <row r="118" spans="1:2" s="10" customFormat="1" ht="11.25">
      <c r="A118" s="58"/>
      <c r="B118" s="58"/>
    </row>
    <row r="119" spans="1:2" s="10" customFormat="1" ht="11.25">
      <c r="A119" s="58"/>
      <c r="B119" s="58"/>
    </row>
    <row r="120" spans="1:2" s="10" customFormat="1" ht="11.25">
      <c r="A120" s="58"/>
      <c r="B120" s="58"/>
    </row>
    <row r="121" spans="1:2" s="10" customFormat="1" ht="11.25">
      <c r="A121" s="58"/>
      <c r="B121" s="58"/>
    </row>
    <row r="122" spans="1:2" s="10" customFormat="1" ht="11.25">
      <c r="A122" s="58"/>
      <c r="B122" s="58"/>
    </row>
    <row r="123" spans="1:2" s="10" customFormat="1" ht="11.25">
      <c r="A123" s="58"/>
      <c r="B123" s="58"/>
    </row>
    <row r="124" spans="1:2" s="10" customFormat="1" ht="15" customHeight="1">
      <c r="A124" s="58"/>
      <c r="B124" s="58"/>
    </row>
    <row r="125" spans="1:2" s="10" customFormat="1" ht="15" customHeight="1">
      <c r="A125" s="58"/>
      <c r="B125" s="58"/>
    </row>
    <row r="126" spans="1:2" s="10" customFormat="1" ht="11.25">
      <c r="A126" s="58"/>
      <c r="B126" s="58"/>
    </row>
    <row r="127" spans="1:2" s="10" customFormat="1" ht="11.25">
      <c r="A127" s="58"/>
      <c r="B127" s="58"/>
    </row>
    <row r="128" spans="1:2" s="10" customFormat="1" ht="11.25">
      <c r="A128" s="58"/>
      <c r="B128" s="58"/>
    </row>
    <row r="129" spans="1:2" s="10" customFormat="1" ht="11.25">
      <c r="A129" s="58"/>
      <c r="B129" s="58"/>
    </row>
    <row r="130" spans="1:2" s="10" customFormat="1" ht="11.25">
      <c r="A130" s="58"/>
      <c r="B130" s="58"/>
    </row>
    <row r="131" spans="1:2" s="10" customFormat="1" ht="11.25">
      <c r="A131" s="58"/>
      <c r="B131" s="58"/>
    </row>
    <row r="132" spans="1:2" s="10" customFormat="1" ht="11.25">
      <c r="A132" s="58"/>
      <c r="B132" s="58"/>
    </row>
    <row r="133" spans="1:2" s="10" customFormat="1" ht="11.25">
      <c r="A133" s="58"/>
      <c r="B133" s="58"/>
    </row>
    <row r="134" spans="1:2" s="10" customFormat="1" ht="11.25">
      <c r="A134" s="58"/>
      <c r="B134" s="58"/>
    </row>
    <row r="135" spans="1:2" s="10" customFormat="1" ht="11.25">
      <c r="A135" s="58"/>
      <c r="B135" s="58"/>
    </row>
    <row r="136" spans="1:2" s="10" customFormat="1" ht="11.25">
      <c r="A136" s="58"/>
      <c r="B136" s="58"/>
    </row>
    <row r="137" spans="1:2" s="10" customFormat="1" ht="11.25">
      <c r="A137" s="58"/>
      <c r="B137" s="58"/>
    </row>
    <row r="138" spans="1:2" s="10" customFormat="1" ht="11.25">
      <c r="A138" s="58"/>
      <c r="B138" s="58"/>
    </row>
    <row r="139" spans="1:2" s="10" customFormat="1" ht="11.25">
      <c r="A139" s="58"/>
      <c r="B139" s="58"/>
    </row>
    <row r="140" spans="1:2" s="10" customFormat="1" ht="11.25">
      <c r="A140" s="58"/>
      <c r="B140" s="58"/>
    </row>
    <row r="141" spans="1:2" s="10" customFormat="1" ht="11.25">
      <c r="A141" s="58"/>
      <c r="B141" s="58"/>
    </row>
    <row r="142" spans="1:2" s="10" customFormat="1" ht="11.25">
      <c r="A142" s="58"/>
      <c r="B142" s="58"/>
    </row>
    <row r="143" spans="1:2" s="10" customFormat="1" ht="11.25">
      <c r="A143" s="58"/>
      <c r="B143" s="58"/>
    </row>
    <row r="144" spans="1:2" s="10" customFormat="1" ht="11.25">
      <c r="A144" s="58"/>
      <c r="B144" s="58"/>
    </row>
    <row r="145" spans="1:2" s="10" customFormat="1" ht="11.25">
      <c r="A145" s="58"/>
      <c r="B145" s="58"/>
    </row>
    <row r="146" spans="1:2" s="10" customFormat="1" ht="11.25">
      <c r="A146" s="58"/>
      <c r="B146" s="58"/>
    </row>
    <row r="147" spans="1:2" s="10" customFormat="1" ht="11.25">
      <c r="A147" s="58"/>
      <c r="B147" s="58"/>
    </row>
    <row r="148" spans="1:2" s="10" customFormat="1" ht="11.25">
      <c r="A148" s="58"/>
      <c r="B148" s="58"/>
    </row>
    <row r="149" spans="1:2" s="10" customFormat="1" ht="11.25">
      <c r="A149" s="58"/>
      <c r="B149" s="58"/>
    </row>
    <row r="150" spans="1:2" s="10" customFormat="1" ht="11.25">
      <c r="A150" s="58"/>
      <c r="B150" s="58"/>
    </row>
    <row r="151" spans="1:2" s="10" customFormat="1" ht="11.25">
      <c r="A151" s="58"/>
      <c r="B151" s="58"/>
    </row>
    <row r="152" spans="1:2" s="10" customFormat="1" ht="11.25">
      <c r="A152" s="58"/>
      <c r="B152" s="58"/>
    </row>
    <row r="153" spans="1:2" s="10" customFormat="1" ht="11.25">
      <c r="A153" s="58"/>
      <c r="B153" s="58"/>
    </row>
    <row r="154" spans="1:2" s="10" customFormat="1" ht="11.25">
      <c r="A154" s="58"/>
      <c r="B154" s="58"/>
    </row>
    <row r="155" spans="1:2" s="10" customFormat="1" ht="11.25">
      <c r="A155" s="58"/>
      <c r="B155" s="58"/>
    </row>
    <row r="156" spans="1:2" s="10" customFormat="1" ht="11.25">
      <c r="A156" s="58"/>
      <c r="B156" s="58"/>
    </row>
    <row r="157" spans="1:2" s="10" customFormat="1" ht="11.25">
      <c r="A157" s="58"/>
      <c r="B157" s="58"/>
    </row>
    <row r="158" spans="1:2" s="10" customFormat="1" ht="11.25">
      <c r="A158" s="58"/>
      <c r="B158" s="58"/>
    </row>
    <row r="159" spans="1:2" s="10" customFormat="1" ht="11.25">
      <c r="A159" s="58"/>
      <c r="B159" s="58"/>
    </row>
    <row r="160" spans="1:2" s="10" customFormat="1" ht="11.25">
      <c r="A160" s="58"/>
      <c r="B160" s="58"/>
    </row>
    <row r="161" spans="1:2" s="10" customFormat="1" ht="11.25">
      <c r="A161" s="58"/>
      <c r="B161" s="58"/>
    </row>
    <row r="162" spans="1:2" s="10" customFormat="1" ht="11.25">
      <c r="A162" s="58"/>
      <c r="B162" s="58"/>
    </row>
    <row r="163" spans="1:2" s="10" customFormat="1" ht="11.25">
      <c r="A163" s="58"/>
      <c r="B163" s="58"/>
    </row>
    <row r="164" spans="1:2" s="10" customFormat="1" ht="11.25">
      <c r="A164" s="58"/>
      <c r="B164" s="58"/>
    </row>
    <row r="165" spans="1:2" s="10" customFormat="1" ht="15.75" customHeight="1">
      <c r="A165" s="58"/>
      <c r="B165" s="58"/>
    </row>
    <row r="166" spans="1:2" s="10" customFormat="1" ht="11.25">
      <c r="A166" s="58"/>
      <c r="B166" s="58"/>
    </row>
    <row r="167" spans="1:2" s="10" customFormat="1" ht="11.25">
      <c r="A167" s="58"/>
      <c r="B167" s="58"/>
    </row>
    <row r="168" spans="1:2" s="10" customFormat="1" ht="11.25">
      <c r="A168" s="58"/>
      <c r="B168" s="58"/>
    </row>
    <row r="169" spans="1:2" s="10" customFormat="1" ht="11.25">
      <c r="A169" s="58"/>
      <c r="B169" s="58"/>
    </row>
    <row r="170" spans="1:2" s="10" customFormat="1" ht="11.25">
      <c r="A170" s="58"/>
      <c r="B170" s="58"/>
    </row>
    <row r="171" spans="1:2" s="10" customFormat="1" ht="11.25">
      <c r="A171" s="58"/>
      <c r="B171" s="58"/>
    </row>
    <row r="172" spans="1:2" s="10" customFormat="1" ht="11.25">
      <c r="A172" s="58"/>
      <c r="B172" s="58"/>
    </row>
    <row r="173" spans="1:2" s="10" customFormat="1" ht="11.25">
      <c r="A173" s="58"/>
      <c r="B173" s="58"/>
    </row>
    <row r="174" spans="1:2" s="10" customFormat="1" ht="11.25">
      <c r="A174" s="58"/>
      <c r="B174" s="58"/>
    </row>
    <row r="175" spans="1:2" s="10" customFormat="1" ht="11.25">
      <c r="A175" s="58"/>
      <c r="B175" s="58"/>
    </row>
    <row r="176" spans="1:2" s="10" customFormat="1" ht="11.25">
      <c r="A176" s="58"/>
      <c r="B176" s="58"/>
    </row>
    <row r="177" spans="1:2" s="10" customFormat="1" ht="11.25">
      <c r="A177" s="58"/>
      <c r="B177" s="58"/>
    </row>
    <row r="178" spans="1:2" s="10" customFormat="1" ht="11.25">
      <c r="A178" s="58"/>
      <c r="B178" s="58"/>
    </row>
    <row r="179" spans="1:2" s="10" customFormat="1" ht="11.25">
      <c r="A179" s="58"/>
      <c r="B179" s="58"/>
    </row>
    <row r="180" spans="1:2" s="10" customFormat="1" ht="11.25">
      <c r="A180" s="58"/>
      <c r="B180" s="58"/>
    </row>
    <row r="181" spans="1:2" s="10" customFormat="1" ht="11.25">
      <c r="A181" s="58"/>
      <c r="B181" s="58"/>
    </row>
    <row r="182" spans="1:2" s="10" customFormat="1" ht="11.25">
      <c r="A182" s="58"/>
      <c r="B182" s="58"/>
    </row>
    <row r="183" spans="1:2" s="10" customFormat="1" ht="11.25">
      <c r="A183" s="58"/>
      <c r="B183" s="58"/>
    </row>
    <row r="184" spans="1:2" s="10" customFormat="1" ht="11.25">
      <c r="A184" s="58"/>
      <c r="B184" s="58"/>
    </row>
    <row r="185" spans="1:2" s="10" customFormat="1" ht="11.25">
      <c r="A185" s="58"/>
      <c r="B185" s="58"/>
    </row>
    <row r="186" spans="1:2" s="10" customFormat="1" ht="11.25">
      <c r="A186" s="58"/>
      <c r="B186" s="58"/>
    </row>
    <row r="187" spans="1:2" s="10" customFormat="1" ht="11.25">
      <c r="A187" s="58"/>
      <c r="B187" s="58"/>
    </row>
    <row r="188" spans="1:2" s="10" customFormat="1" ht="11.25">
      <c r="A188" s="58"/>
      <c r="B188" s="58"/>
    </row>
    <row r="189" spans="1:2" s="10" customFormat="1" ht="11.25">
      <c r="A189" s="58"/>
      <c r="B189" s="58"/>
    </row>
    <row r="190" spans="1:2" s="10" customFormat="1" ht="11.25">
      <c r="A190" s="58"/>
      <c r="B190" s="58"/>
    </row>
    <row r="191" spans="1:2" s="10" customFormat="1" ht="11.25">
      <c r="A191" s="58"/>
      <c r="B191" s="58"/>
    </row>
    <row r="192" spans="1:2" s="10" customFormat="1" ht="11.25">
      <c r="A192" s="58"/>
      <c r="B192" s="58"/>
    </row>
    <row r="193" spans="1:2" s="10" customFormat="1" ht="11.25">
      <c r="A193" s="58"/>
      <c r="B193" s="58"/>
    </row>
    <row r="194" spans="1:2" s="10" customFormat="1" ht="11.25">
      <c r="A194" s="58"/>
      <c r="B194" s="58"/>
    </row>
    <row r="195" spans="1:2" s="10" customFormat="1" ht="11.25">
      <c r="A195" s="58"/>
      <c r="B195" s="58"/>
    </row>
    <row r="196" spans="1:2" s="10" customFormat="1" ht="11.25">
      <c r="A196" s="58"/>
      <c r="B196" s="58"/>
    </row>
    <row r="197" spans="1:2" s="10" customFormat="1" ht="11.25">
      <c r="A197" s="58"/>
      <c r="B197" s="58"/>
    </row>
    <row r="198" spans="1:2" s="10" customFormat="1" ht="11.25">
      <c r="A198" s="58"/>
      <c r="B198" s="58"/>
    </row>
    <row r="199" spans="1:2" s="10" customFormat="1" ht="11.25">
      <c r="A199" s="58"/>
      <c r="B199" s="58"/>
    </row>
    <row r="200" spans="1:2" s="10" customFormat="1" ht="11.25">
      <c r="A200" s="58"/>
      <c r="B200" s="58"/>
    </row>
    <row r="201" spans="1:2" s="10" customFormat="1" ht="11.25">
      <c r="A201" s="58"/>
      <c r="B201" s="58"/>
    </row>
    <row r="202" spans="1:2" s="10" customFormat="1" ht="11.25">
      <c r="A202" s="58"/>
      <c r="B202" s="58"/>
    </row>
    <row r="203" spans="1:2" s="10" customFormat="1" ht="11.25">
      <c r="A203" s="58"/>
      <c r="B203" s="58"/>
    </row>
    <row r="204" spans="1:2" s="10" customFormat="1" ht="11.25">
      <c r="A204" s="58"/>
      <c r="B204" s="58"/>
    </row>
    <row r="205" spans="1:2" s="10" customFormat="1" ht="11.25">
      <c r="A205" s="58"/>
      <c r="B205" s="58"/>
    </row>
    <row r="206" spans="1:2" s="10" customFormat="1" ht="11.25">
      <c r="A206" s="58"/>
      <c r="B206" s="58"/>
    </row>
    <row r="207" spans="1:2" s="10" customFormat="1" ht="11.25">
      <c r="A207" s="58"/>
      <c r="B207" s="58"/>
    </row>
    <row r="208" spans="1:2" s="10" customFormat="1" ht="11.25">
      <c r="A208" s="58"/>
      <c r="B208" s="58"/>
    </row>
    <row r="209" spans="1:2" s="10" customFormat="1" ht="11.25">
      <c r="A209" s="58"/>
      <c r="B209" s="58"/>
    </row>
    <row r="210" spans="1:2" s="10" customFormat="1" ht="11.25">
      <c r="A210" s="58"/>
      <c r="B210" s="58"/>
    </row>
    <row r="211" spans="1:2" s="10" customFormat="1" ht="11.25">
      <c r="A211" s="58"/>
      <c r="B211" s="58"/>
    </row>
    <row r="212" spans="1:2" s="10" customFormat="1" ht="11.25">
      <c r="A212" s="58"/>
      <c r="B212" s="58"/>
    </row>
    <row r="213" spans="1:2" s="10" customFormat="1" ht="11.25">
      <c r="A213" s="58"/>
      <c r="B213" s="58"/>
    </row>
    <row r="214" spans="1:2" s="10" customFormat="1" ht="11.25">
      <c r="A214" s="58"/>
      <c r="B214" s="58"/>
    </row>
    <row r="215" spans="1:2" s="10" customFormat="1" ht="11.25">
      <c r="A215" s="58"/>
      <c r="B215" s="58"/>
    </row>
    <row r="216" spans="1:2" s="10" customFormat="1" ht="11.25">
      <c r="A216" s="58"/>
      <c r="B216" s="58"/>
    </row>
    <row r="217" spans="1:2" s="10" customFormat="1" ht="11.25">
      <c r="A217" s="58"/>
      <c r="B217" s="58"/>
    </row>
    <row r="218" spans="1:2" s="10" customFormat="1" ht="11.25">
      <c r="A218" s="58"/>
      <c r="B218" s="58"/>
    </row>
    <row r="219" spans="1:2" s="10" customFormat="1" ht="11.25">
      <c r="A219" s="58"/>
      <c r="B219" s="58"/>
    </row>
    <row r="220" spans="1:2" s="10" customFormat="1" ht="11.25">
      <c r="A220" s="58"/>
      <c r="B220" s="58"/>
    </row>
    <row r="221" spans="1:2" s="10" customFormat="1" ht="11.25">
      <c r="A221" s="58"/>
      <c r="B221" s="58"/>
    </row>
    <row r="222" spans="1:2" s="10" customFormat="1" ht="11.25">
      <c r="A222" s="58"/>
      <c r="B222" s="58"/>
    </row>
    <row r="223" spans="1:2" s="10" customFormat="1" ht="11.25">
      <c r="A223" s="58"/>
      <c r="B223" s="58"/>
    </row>
    <row r="224" spans="1:2" s="10" customFormat="1" ht="11.25">
      <c r="A224" s="58"/>
      <c r="B224" s="58"/>
    </row>
    <row r="225" spans="1:2" s="10" customFormat="1" ht="11.25">
      <c r="A225" s="58"/>
      <c r="B225" s="58"/>
    </row>
    <row r="226" spans="1:2" s="10" customFormat="1" ht="11.25">
      <c r="A226" s="58"/>
      <c r="B226" s="58"/>
    </row>
    <row r="227" spans="1:2" s="10" customFormat="1" ht="11.25">
      <c r="A227" s="58"/>
      <c r="B227" s="58"/>
    </row>
    <row r="228" spans="1:2" s="10" customFormat="1" ht="11.25">
      <c r="A228" s="58"/>
      <c r="B228" s="58"/>
    </row>
    <row r="229" spans="1:2" s="10" customFormat="1" ht="11.25">
      <c r="A229" s="58"/>
      <c r="B229" s="58"/>
    </row>
    <row r="230" spans="1:2" s="10" customFormat="1" ht="11.25">
      <c r="A230" s="58"/>
      <c r="B230" s="58"/>
    </row>
    <row r="231" spans="1:2" s="10" customFormat="1" ht="11.25">
      <c r="A231" s="58"/>
      <c r="B231" s="58"/>
    </row>
    <row r="232" spans="1:2" s="10" customFormat="1" ht="11.25">
      <c r="A232" s="58"/>
      <c r="B232" s="58"/>
    </row>
    <row r="233" spans="1:2" s="10" customFormat="1" ht="11.25">
      <c r="A233" s="58"/>
      <c r="B233" s="58"/>
    </row>
    <row r="234" spans="1:2" s="10" customFormat="1" ht="11.25">
      <c r="A234" s="58"/>
      <c r="B234" s="58"/>
    </row>
    <row r="235" spans="1:2" s="10" customFormat="1" ht="11.25">
      <c r="A235" s="58"/>
      <c r="B235" s="58"/>
    </row>
    <row r="236" spans="1:2" s="10" customFormat="1" ht="11.25">
      <c r="A236" s="58"/>
      <c r="B236" s="58"/>
    </row>
    <row r="237" spans="1:2" s="10" customFormat="1" ht="11.25">
      <c r="A237" s="58"/>
      <c r="B237" s="58"/>
    </row>
    <row r="238" spans="1:2" s="10" customFormat="1" ht="11.25">
      <c r="A238" s="58"/>
      <c r="B238" s="58"/>
    </row>
    <row r="239" spans="1:2" s="10" customFormat="1" ht="11.25">
      <c r="A239" s="58"/>
      <c r="B239" s="58"/>
    </row>
    <row r="240" spans="1:2" s="10" customFormat="1" ht="11.25">
      <c r="A240" s="58"/>
      <c r="B240" s="58"/>
    </row>
    <row r="241" spans="1:2" s="10" customFormat="1" ht="11.25">
      <c r="A241" s="58"/>
      <c r="B241" s="58"/>
    </row>
    <row r="242" spans="1:2" s="10" customFormat="1" ht="11.25">
      <c r="A242" s="58"/>
      <c r="B242" s="58"/>
    </row>
    <row r="243" spans="1:2" s="10" customFormat="1" ht="11.25">
      <c r="A243" s="58"/>
      <c r="B243" s="58"/>
    </row>
    <row r="244" spans="1:2" s="10" customFormat="1" ht="11.25">
      <c r="A244" s="58"/>
      <c r="B244" s="58"/>
    </row>
    <row r="245" spans="1:2" s="10" customFormat="1" ht="11.25">
      <c r="A245" s="58"/>
      <c r="B245" s="58"/>
    </row>
    <row r="246" spans="1:2" s="10" customFormat="1" ht="11.25">
      <c r="A246" s="58"/>
      <c r="B246" s="58"/>
    </row>
    <row r="247" spans="1:2" s="10" customFormat="1" ht="11.25">
      <c r="A247" s="58"/>
      <c r="B247" s="58"/>
    </row>
    <row r="248" spans="1:2" s="10" customFormat="1" ht="11.25">
      <c r="A248" s="58"/>
      <c r="B248" s="58"/>
    </row>
  </sheetData>
  <sheetProtection/>
  <mergeCells count="156">
    <mergeCell ref="A37:C37"/>
    <mergeCell ref="AN38:AP38"/>
    <mergeCell ref="AN39:AP39"/>
    <mergeCell ref="AN4:AQ4"/>
    <mergeCell ref="AN5:AQ5"/>
    <mergeCell ref="AQ17:AQ18"/>
    <mergeCell ref="AQ15:AQ16"/>
    <mergeCell ref="AO20:AO25"/>
    <mergeCell ref="AN17:AN18"/>
    <mergeCell ref="AO17:AO18"/>
    <mergeCell ref="AP17:AP18"/>
    <mergeCell ref="AN15:AN16"/>
    <mergeCell ref="AO15:AO16"/>
    <mergeCell ref="AP15:AP16"/>
    <mergeCell ref="AF26:AF35"/>
    <mergeCell ref="AI26:AI35"/>
    <mergeCell ref="AL26:AL35"/>
    <mergeCell ref="AM15:AM16"/>
    <mergeCell ref="AH15:AH16"/>
    <mergeCell ref="AI15:AI16"/>
    <mergeCell ref="AQ20:AQ25"/>
    <mergeCell ref="AQ26:AQ35"/>
    <mergeCell ref="AO26:AO35"/>
    <mergeCell ref="AW26:AW35"/>
    <mergeCell ref="AT20:AT25"/>
    <mergeCell ref="AW20:AW25"/>
    <mergeCell ref="AT26:AT35"/>
    <mergeCell ref="AV26:AV35"/>
    <mergeCell ref="AS26:AS35"/>
    <mergeCell ref="AU26:AU35"/>
    <mergeCell ref="AJ15:AJ16"/>
    <mergeCell ref="AK15:AK16"/>
    <mergeCell ref="AI20:AI25"/>
    <mergeCell ref="AK17:AK18"/>
    <mergeCell ref="AL15:AL16"/>
    <mergeCell ref="AE15:AE16"/>
    <mergeCell ref="AF15:AF16"/>
    <mergeCell ref="AG15:AG16"/>
    <mergeCell ref="AF20:AF25"/>
    <mergeCell ref="AL20:AL25"/>
    <mergeCell ref="AE4:AM4"/>
    <mergeCell ref="AE5:AG5"/>
    <mergeCell ref="AH5:AJ5"/>
    <mergeCell ref="AK5:AM5"/>
    <mergeCell ref="AE17:AE18"/>
    <mergeCell ref="AF17:AF18"/>
    <mergeCell ref="AL17:AL18"/>
    <mergeCell ref="AM17:AM18"/>
    <mergeCell ref="AG17:AG18"/>
    <mergeCell ref="AH17:AH18"/>
    <mergeCell ref="W26:W35"/>
    <mergeCell ref="Z26:Z35"/>
    <mergeCell ref="AC26:AC35"/>
    <mergeCell ref="W20:W25"/>
    <mergeCell ref="Z20:Z25"/>
    <mergeCell ref="AC20:AC25"/>
    <mergeCell ref="V15:V16"/>
    <mergeCell ref="W15:W16"/>
    <mergeCell ref="X15:X16"/>
    <mergeCell ref="AD15:AD16"/>
    <mergeCell ref="AA15:AA16"/>
    <mergeCell ref="AB15:AB16"/>
    <mergeCell ref="AC15:AC16"/>
    <mergeCell ref="V4:AD4"/>
    <mergeCell ref="V5:X5"/>
    <mergeCell ref="Y5:AA5"/>
    <mergeCell ref="AB5:AD5"/>
    <mergeCell ref="Z17:Z18"/>
    <mergeCell ref="AA17:AA18"/>
    <mergeCell ref="V17:V18"/>
    <mergeCell ref="W17:W18"/>
    <mergeCell ref="AC17:AC18"/>
    <mergeCell ref="Y15:Y16"/>
    <mergeCell ref="AW15:AW16"/>
    <mergeCell ref="AU17:AU18"/>
    <mergeCell ref="AV17:AV18"/>
    <mergeCell ref="AW17:AW18"/>
    <mergeCell ref="N26:N35"/>
    <mergeCell ref="Q26:Q35"/>
    <mergeCell ref="T26:T35"/>
    <mergeCell ref="N20:N25"/>
    <mergeCell ref="Q20:Q25"/>
    <mergeCell ref="AS15:AS16"/>
    <mergeCell ref="AS17:AS18"/>
    <mergeCell ref="AT17:AT18"/>
    <mergeCell ref="X17:X18"/>
    <mergeCell ref="Y17:Y18"/>
    <mergeCell ref="AU15:AU16"/>
    <mergeCell ref="AV15:AV16"/>
    <mergeCell ref="AT15:AT16"/>
    <mergeCell ref="Z15:Z16"/>
    <mergeCell ref="AI17:AI18"/>
    <mergeCell ref="AJ17:AJ18"/>
    <mergeCell ref="T15:T16"/>
    <mergeCell ref="M15:M16"/>
    <mergeCell ref="N15:N16"/>
    <mergeCell ref="O15:O16"/>
    <mergeCell ref="T20:T25"/>
    <mergeCell ref="U15:U16"/>
    <mergeCell ref="P15:P16"/>
    <mergeCell ref="Q15:Q16"/>
    <mergeCell ref="S15:S16"/>
    <mergeCell ref="R15:R16"/>
    <mergeCell ref="O17:O18"/>
    <mergeCell ref="P17:P18"/>
    <mergeCell ref="Q17:Q18"/>
    <mergeCell ref="E20:E25"/>
    <mergeCell ref="H20:H25"/>
    <mergeCell ref="K20:K25"/>
    <mergeCell ref="K17:K18"/>
    <mergeCell ref="M4:U4"/>
    <mergeCell ref="M5:O5"/>
    <mergeCell ref="P5:R5"/>
    <mergeCell ref="S5:U5"/>
    <mergeCell ref="U17:U18"/>
    <mergeCell ref="H17:H18"/>
    <mergeCell ref="I17:I18"/>
    <mergeCell ref="J17:J18"/>
    <mergeCell ref="M17:M18"/>
    <mergeCell ref="N17:N18"/>
    <mergeCell ref="A26:A35"/>
    <mergeCell ref="B26:B35"/>
    <mergeCell ref="E26:E35"/>
    <mergeCell ref="H26:H35"/>
    <mergeCell ref="K26:K35"/>
    <mergeCell ref="L15:L16"/>
    <mergeCell ref="B17:B18"/>
    <mergeCell ref="L17:L18"/>
    <mergeCell ref="A20:A25"/>
    <mergeCell ref="B20:B25"/>
    <mergeCell ref="H15:H16"/>
    <mergeCell ref="G15:G16"/>
    <mergeCell ref="I15:I16"/>
    <mergeCell ref="J15:J16"/>
    <mergeCell ref="K15:K16"/>
    <mergeCell ref="A12:A13"/>
    <mergeCell ref="A15:A18"/>
    <mergeCell ref="B15:B16"/>
    <mergeCell ref="A8:A11"/>
    <mergeCell ref="D17:D18"/>
    <mergeCell ref="E17:E18"/>
    <mergeCell ref="F17:F18"/>
    <mergeCell ref="G17:G18"/>
    <mergeCell ref="D15:D16"/>
    <mergeCell ref="E15:E16"/>
    <mergeCell ref="F15:F16"/>
    <mergeCell ref="R17:R18"/>
    <mergeCell ref="S17:S18"/>
    <mergeCell ref="T17:T18"/>
    <mergeCell ref="AB17:AB18"/>
    <mergeCell ref="AD17:AD18"/>
    <mergeCell ref="A4:C7"/>
    <mergeCell ref="D4:L4"/>
    <mergeCell ref="D5:F5"/>
    <mergeCell ref="G5:I5"/>
    <mergeCell ref="J5:L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124"/>
  <sheetViews>
    <sheetView zoomScalePageLayoutView="0" workbookViewId="0" topLeftCell="A3">
      <pane xSplit="1" ySplit="3" topLeftCell="B21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9" sqref="F9"/>
    </sheetView>
  </sheetViews>
  <sheetFormatPr defaultColWidth="9.140625" defaultRowHeight="15"/>
  <cols>
    <col min="1" max="1" width="56.7109375" style="0" bestFit="1" customWidth="1"/>
    <col min="2" max="2" width="20.8515625" style="0" customWidth="1"/>
    <col min="3" max="3" width="20.00390625" style="0" customWidth="1"/>
    <col min="4" max="4" width="20.8515625" style="0" customWidth="1"/>
    <col min="5" max="5" width="20.8515625" style="0" hidden="1" customWidth="1"/>
    <col min="6" max="6" width="16.421875" style="0" bestFit="1" customWidth="1"/>
    <col min="7" max="11" width="15.28125" style="0" bestFit="1" customWidth="1"/>
    <col min="12" max="17" width="17.8515625" style="0" customWidth="1"/>
    <col min="18" max="18" width="17.57421875" style="0" customWidth="1"/>
    <col min="19" max="19" width="16.7109375" style="0" customWidth="1"/>
  </cols>
  <sheetData>
    <row r="1" spans="2:6" ht="45" customHeight="1" thickBot="1">
      <c r="B1" s="112">
        <f>B7+B8+B9</f>
        <v>146403045</v>
      </c>
      <c r="C1" s="112">
        <f>C7+C8+C9</f>
        <v>163605099.51</v>
      </c>
      <c r="D1" s="112">
        <f>D7+D8+D9</f>
        <v>115239798.82814693</v>
      </c>
      <c r="E1" s="112">
        <f>E7+E8+E9</f>
        <v>114045658.44714694</v>
      </c>
      <c r="F1" s="112">
        <f>F7+F8+F9</f>
        <v>10173233.629721213</v>
      </c>
    </row>
    <row r="2" spans="1:17" ht="16.5" thickBot="1" thickTop="1">
      <c r="A2" s="113"/>
      <c r="B2" s="114"/>
      <c r="C2" s="114"/>
      <c r="D2" s="115" t="s">
        <v>52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 thickBot="1" thickTop="1">
      <c r="A3" s="298" t="s">
        <v>168</v>
      </c>
      <c r="B3" s="299" t="s">
        <v>169</v>
      </c>
      <c r="C3" s="299" t="s">
        <v>170</v>
      </c>
      <c r="D3" s="301" t="s">
        <v>171</v>
      </c>
      <c r="E3" s="301" t="s">
        <v>172</v>
      </c>
      <c r="F3" s="297" t="s">
        <v>48</v>
      </c>
      <c r="G3" s="297" t="s">
        <v>49</v>
      </c>
      <c r="H3" s="297" t="s">
        <v>50</v>
      </c>
      <c r="I3" s="297" t="s">
        <v>57</v>
      </c>
      <c r="J3" s="297" t="s">
        <v>58</v>
      </c>
      <c r="K3" s="297" t="s">
        <v>59</v>
      </c>
      <c r="L3" s="297" t="s">
        <v>60</v>
      </c>
      <c r="M3" s="297" t="s">
        <v>61</v>
      </c>
      <c r="N3" s="297" t="s">
        <v>62</v>
      </c>
      <c r="O3" s="297" t="s">
        <v>63</v>
      </c>
      <c r="P3" s="297" t="s">
        <v>64</v>
      </c>
      <c r="Q3" s="297" t="s">
        <v>65</v>
      </c>
    </row>
    <row r="4" spans="1:17" ht="16.5" thickBot="1" thickTop="1">
      <c r="A4" s="298"/>
      <c r="B4" s="300"/>
      <c r="C4" s="300"/>
      <c r="D4" s="301"/>
      <c r="E4" s="301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ht="34.5" customHeight="1" thickBot="1" thickTop="1">
      <c r="A5" s="117" t="s">
        <v>173</v>
      </c>
      <c r="B5" s="118">
        <f>B7+B8+B9+B6</f>
        <v>176012299</v>
      </c>
      <c r="C5" s="118">
        <f>C7+C8+C9+C6</f>
        <v>205152344.48999998</v>
      </c>
      <c r="D5" s="118">
        <f>D7+D8+D9+D6</f>
        <v>157307431.44614646</v>
      </c>
      <c r="E5" s="118">
        <f>E7+E8+E9+E6</f>
        <v>156113291.06514648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s="123" customFormat="1" ht="34.5" customHeight="1" thickBot="1">
      <c r="A6" s="120" t="s">
        <v>174</v>
      </c>
      <c r="B6" s="121">
        <f>'[1]PESSOAL E ENCARGOS'!B4</f>
        <v>29609254</v>
      </c>
      <c r="C6" s="121">
        <f>'[1]PESSOAL E ENCARGOS'!C4</f>
        <v>41547244.98</v>
      </c>
      <c r="D6" s="121">
        <f>'[1]PESSOAL E ENCARGOS'!D4</f>
        <v>42067632.61799953</v>
      </c>
      <c r="E6" s="121">
        <f>D6</f>
        <v>42067632.61799953</v>
      </c>
      <c r="F6" s="122">
        <f>'[1]PESSOAL E ENCARGOS'!E4</f>
        <v>3459165.790354749</v>
      </c>
      <c r="G6" s="122">
        <f>'[1]PESSOAL E ENCARGOS'!F4</f>
        <v>3500753.208354749</v>
      </c>
      <c r="H6" s="122">
        <f>'[1]PESSOAL E ENCARGOS'!G4</f>
        <v>3460386.2440547487</v>
      </c>
      <c r="I6" s="122">
        <f>'[1]PESSOAL E ENCARGOS'!H4</f>
        <v>3457876.798054749</v>
      </c>
      <c r="J6" s="122">
        <f>'[1]PESSOAL E ENCARGOS'!I4</f>
        <v>3457876.798054749</v>
      </c>
      <c r="K6" s="122">
        <f>'[1]PESSOAL E ENCARGOS'!J4</f>
        <v>3528534.0654547485</v>
      </c>
      <c r="L6" s="122">
        <f>'[1]PESSOAL E ENCARGOS'!K4</f>
        <v>3462348.2174873753</v>
      </c>
      <c r="M6" s="122">
        <f>'[1]PESSOAL E ENCARGOS'!L4</f>
        <v>3459490.624487376</v>
      </c>
      <c r="N6" s="122">
        <f>'[1]PESSOAL E ENCARGOS'!M4</f>
        <v>3544007.561748072</v>
      </c>
      <c r="O6" s="122">
        <f>'[1]PESSOAL E ENCARGOS'!N4</f>
        <v>3545731.1033160724</v>
      </c>
      <c r="P6" s="122">
        <f>'[1]PESSOAL E ENCARGOS'!O4</f>
        <v>3545731.1033160724</v>
      </c>
      <c r="Q6" s="122">
        <f>'[1]PESSOAL E ENCARGOS'!P4</f>
        <v>3645731.1033160724</v>
      </c>
    </row>
    <row r="7" spans="1:17" s="123" customFormat="1" ht="34.5" customHeight="1" thickBot="1">
      <c r="A7" s="120" t="s">
        <v>175</v>
      </c>
      <c r="B7" s="121">
        <f>B10+B11+B12+B13+B28+B14+B15+B16+B17+B18+B19+B20+B21</f>
        <v>17830721</v>
      </c>
      <c r="C7" s="121">
        <f>C10+C11+C12+C13+C28+C14+C15+C16+C17+C18+C19+C20+C21</f>
        <v>28644301.62</v>
      </c>
      <c r="D7" s="121">
        <f>D10+D11+D12+D13+D28+D14+D15+D16+D17+D18+D19+D20+D21</f>
        <v>34260463.72926667</v>
      </c>
      <c r="E7" s="121">
        <f>E10+E11+E12+E13+E28+E14+E15+E16+E17+E18+E19+E20+E21</f>
        <v>33066323.34826667</v>
      </c>
      <c r="F7" s="122">
        <f>F10+F11+F12+F13+F28+F14+F15+F16+F17+F18+F19+F20+F21</f>
        <v>2589640.225966667</v>
      </c>
      <c r="G7" s="122">
        <f aca="true" t="shared" si="0" ref="G7:Q7">G10+G11+G12+G13+G28+G14+G15+G16+G17+G18+G19+G20+G21</f>
        <v>4951037.009633333</v>
      </c>
      <c r="H7" s="122">
        <f t="shared" si="0"/>
        <v>4498378.009633333</v>
      </c>
      <c r="I7" s="122">
        <f t="shared" si="0"/>
        <v>5793550.2563</v>
      </c>
      <c r="J7" s="122">
        <f t="shared" si="0"/>
        <v>2070767.7030916666</v>
      </c>
      <c r="K7" s="122">
        <f t="shared" si="0"/>
        <v>2317048.5165916667</v>
      </c>
      <c r="L7" s="122">
        <f t="shared" si="0"/>
        <v>2245020.817425</v>
      </c>
      <c r="M7" s="122">
        <f t="shared" si="0"/>
        <v>1609856.967925</v>
      </c>
      <c r="N7" s="122">
        <f t="shared" si="0"/>
        <v>2072120.3012583333</v>
      </c>
      <c r="O7" s="122">
        <f t="shared" si="0"/>
        <v>2094664.3012583333</v>
      </c>
      <c r="P7" s="122">
        <f t="shared" si="0"/>
        <v>2374691.1017583334</v>
      </c>
      <c r="Q7" s="122">
        <f t="shared" si="0"/>
        <v>1643688.5184250001</v>
      </c>
    </row>
    <row r="8" spans="1:17" s="123" customFormat="1" ht="34.5" customHeight="1" thickBot="1">
      <c r="A8" s="120" t="s">
        <v>176</v>
      </c>
      <c r="B8" s="121">
        <f>B26+B27</f>
        <v>111021756</v>
      </c>
      <c r="C8" s="121">
        <f aca="true" t="shared" si="1" ref="C8:Q8">C26+C27</f>
        <v>115370187.2</v>
      </c>
      <c r="D8" s="121">
        <f t="shared" si="1"/>
        <v>62102798.0028</v>
      </c>
      <c r="E8" s="121">
        <f t="shared" si="1"/>
        <v>62102798.0028</v>
      </c>
      <c r="F8" s="122">
        <f>F26+F27</f>
        <v>6074897.0028</v>
      </c>
      <c r="G8" s="122">
        <f t="shared" si="1"/>
        <v>5994398</v>
      </c>
      <c r="H8" s="122">
        <f t="shared" si="1"/>
        <v>6048399</v>
      </c>
      <c r="I8" s="122">
        <f t="shared" si="1"/>
        <v>5968400</v>
      </c>
      <c r="J8" s="122">
        <f t="shared" si="1"/>
        <v>6048401</v>
      </c>
      <c r="K8" s="122">
        <f t="shared" si="1"/>
        <v>5968402</v>
      </c>
      <c r="L8" s="122">
        <f t="shared" si="1"/>
        <v>4373736</v>
      </c>
      <c r="M8" s="122">
        <f t="shared" si="1"/>
        <v>4293237</v>
      </c>
      <c r="N8" s="122">
        <f t="shared" si="1"/>
        <v>4373238</v>
      </c>
      <c r="O8" s="122">
        <f t="shared" si="1"/>
        <v>4293239</v>
      </c>
      <c r="P8" s="122">
        <f t="shared" si="1"/>
        <v>4373240</v>
      </c>
      <c r="Q8" s="122">
        <f t="shared" si="1"/>
        <v>4293241</v>
      </c>
    </row>
    <row r="9" spans="1:17" ht="34.5" customHeight="1" thickBot="1">
      <c r="A9" s="120" t="s">
        <v>177</v>
      </c>
      <c r="B9" s="121">
        <f>B22+B23+B24</f>
        <v>17550568</v>
      </c>
      <c r="C9" s="121">
        <f>C22+C23+C24</f>
        <v>19590610.69</v>
      </c>
      <c r="D9" s="121">
        <f>D22+D23+D24</f>
        <v>18876537.096080262</v>
      </c>
      <c r="E9" s="121">
        <f>E22+E23+E24</f>
        <v>18876537.096080262</v>
      </c>
      <c r="F9" s="122">
        <f aca="true" t="shared" si="2" ref="F9:Q9">F22+F23</f>
        <v>1508696.4009545455</v>
      </c>
      <c r="G9" s="122">
        <f t="shared" si="2"/>
        <v>1541810.145025692</v>
      </c>
      <c r="H9" s="122">
        <f t="shared" si="2"/>
        <v>1491238.720353801</v>
      </c>
      <c r="I9" s="122">
        <f t="shared" si="2"/>
        <v>1574243.7664090912</v>
      </c>
      <c r="J9" s="122">
        <f t="shared" si="2"/>
        <v>1373288.0013479532</v>
      </c>
      <c r="K9" s="122">
        <f t="shared" si="2"/>
        <v>1311118.9978333332</v>
      </c>
      <c r="L9" s="122">
        <f t="shared" si="2"/>
        <v>1622353.5632272728</v>
      </c>
      <c r="M9" s="122">
        <f t="shared" si="2"/>
        <v>1453453.8588333332</v>
      </c>
      <c r="N9" s="122">
        <f t="shared" si="2"/>
        <v>1707881.303595238</v>
      </c>
      <c r="O9" s="122">
        <f t="shared" si="2"/>
        <v>1558243.0988333332</v>
      </c>
      <c r="P9" s="122">
        <f t="shared" si="2"/>
        <v>1558804.1121666664</v>
      </c>
      <c r="Q9" s="122">
        <f t="shared" si="2"/>
        <v>1605963.4655</v>
      </c>
    </row>
    <row r="10" spans="1:19" ht="30.75" customHeight="1" thickBot="1">
      <c r="A10" s="124" t="s">
        <v>178</v>
      </c>
      <c r="B10" s="125">
        <f>486993+1799414+3225</f>
        <v>2289632</v>
      </c>
      <c r="C10" s="125">
        <v>2241000</v>
      </c>
      <c r="D10" s="126">
        <f>'[1]CGSF DEP CORRENTES'!B6</f>
        <v>3542638.7860000003</v>
      </c>
      <c r="E10" s="126">
        <f>D10-'[1]Média das Despesas Àgua e Luz'!I2</f>
        <v>3298096.3460000004</v>
      </c>
      <c r="F10" s="127">
        <f>'[1]CGSF DEP CORRENTES'!C6</f>
        <v>276419.4413333334</v>
      </c>
      <c r="G10" s="127">
        <f>'[1]CGSF DEP CORRENTES'!D6</f>
        <v>270230.9713333333</v>
      </c>
      <c r="H10" s="127">
        <f>'[1]CGSF DEP CORRENTES'!E6</f>
        <v>269030.9713333333</v>
      </c>
      <c r="I10" s="127">
        <f>'[1]CGSF DEP CORRENTES'!F6</f>
        <v>269190.9713333333</v>
      </c>
      <c r="J10" s="127">
        <f>'[1]CGSF DEP CORRENTES'!G6</f>
        <v>268838.5613333333</v>
      </c>
      <c r="K10" s="127">
        <f>'[1]CGSF DEP CORRENTES'!H6</f>
        <v>268838.5613333333</v>
      </c>
      <c r="L10" s="127">
        <f>'[1]CGSF DEP CORRENTES'!I6</f>
        <v>268998.5613333333</v>
      </c>
      <c r="M10" s="127">
        <f>'[1]CGSF DEP CORRENTES'!J6</f>
        <v>268838.5613333333</v>
      </c>
      <c r="N10" s="127">
        <f>'[1]CGSF DEP CORRENTES'!K6</f>
        <v>385505.228</v>
      </c>
      <c r="O10" s="127">
        <f>'[1]CGSF DEP CORRENTES'!L6</f>
        <v>387665.228</v>
      </c>
      <c r="P10" s="127">
        <f>'[1]CGSF DEP CORRENTES'!M6</f>
        <v>368768.94800000003</v>
      </c>
      <c r="Q10" s="127">
        <f>'[1]CGSF DEP CORRENTES'!N6</f>
        <v>240312.78133333335</v>
      </c>
      <c r="R10" s="3">
        <f>SUM(F10:Q10)</f>
        <v>3542638.7860000003</v>
      </c>
      <c r="S10" s="112">
        <f>R10-D10</f>
        <v>0</v>
      </c>
    </row>
    <row r="11" spans="1:19" ht="32.25" customHeight="1" thickBot="1" thickTop="1">
      <c r="A11" s="128" t="s">
        <v>179</v>
      </c>
      <c r="B11" s="129">
        <f>19702+344198+42</f>
        <v>363942</v>
      </c>
      <c r="C11" s="129">
        <v>734913.76</v>
      </c>
      <c r="D11" s="130">
        <f>'[1]CCIVV DEP CORRENTES'!B6</f>
        <v>1142799.0897999997</v>
      </c>
      <c r="E11" s="126">
        <f>D11-'[1]Média das Despesas Àgua e Luz'!I3</f>
        <v>808704.8847999998</v>
      </c>
      <c r="F11" s="131">
        <f>'[1]CCIVV DEP CORRENTES'!C6</f>
        <v>165200.99748333334</v>
      </c>
      <c r="G11" s="131">
        <f>'[1]CCIVV DEP CORRENTES'!D6</f>
        <v>158840.99748333334</v>
      </c>
      <c r="H11" s="131">
        <f>'[1]CCIVV DEP CORRENTES'!E6</f>
        <v>158200.99748333334</v>
      </c>
      <c r="I11" s="131">
        <f>'[1]CCIVV DEP CORRENTES'!F6</f>
        <v>74307.66415</v>
      </c>
      <c r="J11" s="131">
        <f>'[1]CCIVV DEP CORRENTES'!G6</f>
        <v>74495.25415</v>
      </c>
      <c r="K11" s="131">
        <f>'[1]CCIVV DEP CORRENTES'!H6</f>
        <v>73935.25415</v>
      </c>
      <c r="L11" s="131">
        <f>'[1]CCIVV DEP CORRENTES'!I6</f>
        <v>74495.25415</v>
      </c>
      <c r="M11" s="131">
        <f>'[1]CCIVV DEP CORRENTES'!J6</f>
        <v>75935.25415</v>
      </c>
      <c r="N11" s="131">
        <f>'[1]CCIVV DEP CORRENTES'!K6</f>
        <v>74495.25415</v>
      </c>
      <c r="O11" s="131">
        <f>'[1]CCIVV DEP CORRENTES'!L6</f>
        <v>75935.25415</v>
      </c>
      <c r="P11" s="131">
        <f>'[1]CCIVV DEP CORRENTES'!M6</f>
        <v>74127.91415</v>
      </c>
      <c r="Q11" s="131">
        <f>'[1]CCIVV DEP CORRENTES'!N6</f>
        <v>62828.99415</v>
      </c>
      <c r="R11" s="3">
        <f aca="true" t="shared" si="3" ref="R11:R28">SUM(F11:Q11)</f>
        <v>1142799.0897999997</v>
      </c>
      <c r="S11" s="112">
        <f aca="true" t="shared" si="4" ref="S11:S28">R11-D11</f>
        <v>0</v>
      </c>
    </row>
    <row r="12" spans="1:19" ht="39.75" customHeight="1" thickBot="1" thickTop="1">
      <c r="A12" s="128" t="s">
        <v>180</v>
      </c>
      <c r="B12" s="129">
        <f>15167+360720+76</f>
        <v>375963</v>
      </c>
      <c r="C12" s="129">
        <v>530684.13</v>
      </c>
      <c r="D12" s="130">
        <f>'[1]CCICM DEP CORRENTES'!B6</f>
        <v>1321059.9474333334</v>
      </c>
      <c r="E12" s="126">
        <f>D12-'[1]Média das Despesas Àgua e Luz'!I4</f>
        <v>1271475.5584333334</v>
      </c>
      <c r="F12" s="131">
        <f>'[1]CCICM DEP CORRENTES'!C6</f>
        <v>60297.9168</v>
      </c>
      <c r="G12" s="131">
        <f>'[1]CCICM DEP CORRENTES'!D6</f>
        <v>51926.6768</v>
      </c>
      <c r="H12" s="131">
        <f>'[1]CCICM DEP CORRENTES'!E6</f>
        <v>52776.6768</v>
      </c>
      <c r="I12" s="131">
        <f>'[1]CCICM DEP CORRENTES'!F6</f>
        <v>51626.6768</v>
      </c>
      <c r="J12" s="131">
        <f>'[1]CCICM DEP CORRENTES'!G6</f>
        <v>52699.85346666667</v>
      </c>
      <c r="K12" s="131">
        <f>'[1]CCICM DEP CORRENTES'!H6</f>
        <v>54533.61096666667</v>
      </c>
      <c r="L12" s="131">
        <f>'[1]CCICM DEP CORRENTES'!I6</f>
        <v>52311.41096666667</v>
      </c>
      <c r="M12" s="131">
        <f>'[1]CCICM DEP CORRENTES'!J6</f>
        <v>51161.41096666667</v>
      </c>
      <c r="N12" s="131">
        <f>'[1]CCICM DEP CORRENTES'!K6</f>
        <v>227711.41096666665</v>
      </c>
      <c r="O12" s="131">
        <f>'[1]CCICM DEP CORRENTES'!L6</f>
        <v>226161.41096666665</v>
      </c>
      <c r="P12" s="131">
        <f>'[1]CCICM DEP CORRENTES'!M6</f>
        <v>227311.41096666665</v>
      </c>
      <c r="Q12" s="131">
        <f>'[1]CCICM DEP CORRENTES'!N6</f>
        <v>212541.48096666666</v>
      </c>
      <c r="R12" s="3">
        <f t="shared" si="3"/>
        <v>1321059.9474333334</v>
      </c>
      <c r="S12" s="112">
        <f t="shared" si="4"/>
        <v>0</v>
      </c>
    </row>
    <row r="13" spans="1:19" ht="36" customHeight="1" thickBot="1" thickTop="1">
      <c r="A13" s="128" t="s">
        <v>181</v>
      </c>
      <c r="B13" s="129">
        <f>13568+470738</f>
        <v>484306</v>
      </c>
      <c r="C13" s="129">
        <v>565152.42</v>
      </c>
      <c r="D13" s="132">
        <f>'[1]CCINF DESPESAS CORRENTES'!B6</f>
        <v>956918.6046000001</v>
      </c>
      <c r="E13" s="126">
        <f>D13-'[1]Média das Despesas Àgua e Luz'!I5</f>
        <v>888984.3901000001</v>
      </c>
      <c r="F13" s="133">
        <f>'[1]CCINF DESPESAS CORRENTES'!C6</f>
        <v>68353.40038333334</v>
      </c>
      <c r="G13" s="133">
        <f>'[1]CCINF DESPESAS CORRENTES'!D6</f>
        <v>61455.50038333333</v>
      </c>
      <c r="H13" s="133">
        <f>'[1]CCINF DESPESAS CORRENTES'!E6</f>
        <v>61155.50038333333</v>
      </c>
      <c r="I13" s="133">
        <f>'[1]CCINF DESPESAS CORRENTES'!F6</f>
        <v>61155.50038333333</v>
      </c>
      <c r="J13" s="133">
        <f>'[1]CCINF DESPESAS CORRENTES'!G6</f>
        <v>61039.36038333333</v>
      </c>
      <c r="K13" s="133">
        <f>'[1]CCINF DESPESAS CORRENTES'!H6</f>
        <v>61039.36038333333</v>
      </c>
      <c r="L13" s="133">
        <f>'[1]CCINF DESPESAS CORRENTES'!I6</f>
        <v>61039.36038333333</v>
      </c>
      <c r="M13" s="133">
        <f>'[1]CCINF DESPESAS CORRENTES'!J6</f>
        <v>61039.36038333333</v>
      </c>
      <c r="N13" s="133">
        <f>'[1]CCINF DESPESAS CORRENTES'!K6</f>
        <v>137706.02705</v>
      </c>
      <c r="O13" s="133">
        <f>'[1]CCINF DESPESAS CORRENTES'!L6</f>
        <v>137706.02705</v>
      </c>
      <c r="P13" s="133">
        <f>'[1]CCINF DESPESAS CORRENTES'!M6</f>
        <v>137706.02705</v>
      </c>
      <c r="Q13" s="133">
        <f>'[1]CCINF DESPESAS CORRENTES'!N6</f>
        <v>47523.180383333325</v>
      </c>
      <c r="R13" s="3">
        <f t="shared" si="3"/>
        <v>956918.6046000001</v>
      </c>
      <c r="S13" s="112">
        <f t="shared" si="4"/>
        <v>0</v>
      </c>
    </row>
    <row r="14" spans="1:19" ht="36.75" customHeight="1" thickBot="1" thickTop="1">
      <c r="A14" s="128" t="s">
        <v>182</v>
      </c>
      <c r="B14" s="129">
        <f>24690+461197+76</f>
        <v>485963</v>
      </c>
      <c r="C14" s="129">
        <v>1025946.98</v>
      </c>
      <c r="D14" s="134">
        <f>'[1]CCANM DESPESAS CORRENTES'!B6</f>
        <v>1508255.9672000003</v>
      </c>
      <c r="E14" s="126">
        <f>D14-'[1]Média das Despesas Àgua e Luz'!I6</f>
        <v>1467304.7087000003</v>
      </c>
      <c r="F14" s="135">
        <f>'[1]CCANM DESPESAS CORRENTES'!C6</f>
        <v>238786.3731</v>
      </c>
      <c r="G14" s="135">
        <f>'[1]CCANM DESPESAS CORRENTES'!D6</f>
        <v>239217.96309999996</v>
      </c>
      <c r="H14" s="135">
        <f>'[1]CCANM DESPESAS CORRENTES'!E6</f>
        <v>239217.96309999996</v>
      </c>
      <c r="I14" s="135">
        <f>'[1]CCANM DESPESAS CORRENTES'!F6</f>
        <v>239217.96309999996</v>
      </c>
      <c r="J14" s="135">
        <f>'[1]CCANM DESPESAS CORRENTES'!G6</f>
        <v>68976.96310000001</v>
      </c>
      <c r="K14" s="135">
        <f>'[1]CCANM DESPESAS CORRENTES'!H6</f>
        <v>68976.96310000001</v>
      </c>
      <c r="L14" s="135">
        <f>'[1]CCANM DESPESAS CORRENTES'!I6</f>
        <v>68976.96310000001</v>
      </c>
      <c r="M14" s="135">
        <f>'[1]CCANM DESPESAS CORRENTES'!J6</f>
        <v>68976.96310000001</v>
      </c>
      <c r="N14" s="135">
        <f>'[1]CCANM DESPESAS CORRENTES'!K6</f>
        <v>68976.96310000001</v>
      </c>
      <c r="O14" s="135">
        <f>'[1]CCANM DESPESAS CORRENTES'!L6</f>
        <v>68976.96310000001</v>
      </c>
      <c r="P14" s="135">
        <f>'[1]CCANM DESPESAS CORRENTES'!M6</f>
        <v>68976.96310000001</v>
      </c>
      <c r="Q14" s="135">
        <f>'[1]CCANM DESPESAS CORRENTES'!N6</f>
        <v>68976.96310000001</v>
      </c>
      <c r="R14" s="3">
        <f t="shared" si="3"/>
        <v>1508255.9672000003</v>
      </c>
      <c r="S14" s="112">
        <f t="shared" si="4"/>
        <v>0</v>
      </c>
    </row>
    <row r="15" spans="1:19" ht="28.5" customHeight="1" thickBot="1" thickTop="1">
      <c r="A15" s="128" t="s">
        <v>183</v>
      </c>
      <c r="B15" s="129">
        <f>38217+136202+1203</f>
        <v>175622</v>
      </c>
      <c r="C15" s="129">
        <v>578809.03</v>
      </c>
      <c r="D15" s="134">
        <f>'[1]CSDGB DESPESAS CORRENTES'!B6</f>
        <v>584108.2662000001</v>
      </c>
      <c r="E15" s="126">
        <f>D15-'[1]Média das Despesas Àgua e Luz'!I7</f>
        <v>566008.3127000001</v>
      </c>
      <c r="F15" s="135">
        <f>'[1]CSDGB DESPESAS CORRENTES'!C6</f>
        <v>49811.929599999996</v>
      </c>
      <c r="G15" s="135">
        <f>'[1]CSDGB DESPESAS CORRENTES'!D6</f>
        <v>41750.8196</v>
      </c>
      <c r="H15" s="135">
        <f>'[1]CSDGB DESPESAS CORRENTES'!E6</f>
        <v>41750.8196</v>
      </c>
      <c r="I15" s="135">
        <f>'[1]CSDGB DESPESAS CORRENTES'!F6</f>
        <v>44250.8196</v>
      </c>
      <c r="J15" s="135">
        <f>'[1]CSDGB DESPESAS CORRENTES'!G6</f>
        <v>41651.6796</v>
      </c>
      <c r="K15" s="135">
        <f>'[1]CSDGB DESPESAS CORRENTES'!H6</f>
        <v>41651.6796</v>
      </c>
      <c r="L15" s="135">
        <f>'[1]CSDGB DESPESAS CORRENTES'!I6</f>
        <v>43851.6796</v>
      </c>
      <c r="M15" s="135">
        <f>'[1]CSDGB DESPESAS CORRENTES'!J6</f>
        <v>42631.6796</v>
      </c>
      <c r="N15" s="135">
        <f>'[1]CSDGB DESPESAS CORRENTES'!K6</f>
        <v>41651.6796</v>
      </c>
      <c r="O15" s="135">
        <f>'[1]CSDGB DESPESAS CORRENTES'!L6</f>
        <v>41651.6796</v>
      </c>
      <c r="P15" s="135">
        <f>'[1]CSDGB DESPESAS CORRENTES'!M6</f>
        <v>111726.9001</v>
      </c>
      <c r="Q15" s="135">
        <f>'[1]CSDGB DESPESAS CORRENTES'!N6</f>
        <v>41726.9001</v>
      </c>
      <c r="R15" s="3">
        <f t="shared" si="3"/>
        <v>584108.2662000001</v>
      </c>
      <c r="S15" s="112">
        <f t="shared" si="4"/>
        <v>0</v>
      </c>
    </row>
    <row r="16" spans="1:19" ht="37.5" customHeight="1" thickBot="1" thickTop="1">
      <c r="A16" s="128" t="s">
        <v>119</v>
      </c>
      <c r="B16" s="129">
        <f>230005+1226201+1868</f>
        <v>1458074</v>
      </c>
      <c r="C16" s="129">
        <v>1395618.6</v>
      </c>
      <c r="D16" s="134">
        <f>'[1]CIGO DESPESAS CORRENTES'!B6</f>
        <v>1582087.0377999998</v>
      </c>
      <c r="E16" s="126">
        <f>D16-'[1]Média das Despesas Àgua e Luz'!I8</f>
        <v>1358815.1702999999</v>
      </c>
      <c r="F16" s="135">
        <f>'[1]CIGO DESPESAS CORRENTES'!C6</f>
        <v>145228.58106666667</v>
      </c>
      <c r="G16" s="135">
        <f>'[1]CIGO DESPESAS CORRENTES'!D6</f>
        <v>139578.58106666667</v>
      </c>
      <c r="H16" s="135">
        <f>'[1]CIGO DESPESAS CORRENTES'!E6</f>
        <v>137508.58106666667</v>
      </c>
      <c r="I16" s="135">
        <f>'[1]CIGO DESPESAS CORRENTES'!F6</f>
        <v>136578.58106666667</v>
      </c>
      <c r="J16" s="135">
        <f>'[1]CIGO DESPESAS CORRENTES'!G6</f>
        <v>133906.03106666665</v>
      </c>
      <c r="K16" s="135">
        <f>'[1]CIGO DESPESAS CORRENTES'!H6</f>
        <v>138769.83106666667</v>
      </c>
      <c r="L16" s="135">
        <f>'[1]CIGO DESPESAS CORRENTES'!I6</f>
        <v>133639.83106666667</v>
      </c>
      <c r="M16" s="135">
        <f>'[1]CIGO DESPESAS CORRENTES'!J6</f>
        <v>133578.38606666666</v>
      </c>
      <c r="N16" s="135">
        <f>'[1]CIGO DESPESAS CORRENTES'!K6</f>
        <v>134508.38606666666</v>
      </c>
      <c r="O16" s="135">
        <f>'[1]CIGO DESPESAS CORRENTES'!L6</f>
        <v>134202.38606666666</v>
      </c>
      <c r="P16" s="135">
        <f>'[1]CIGO DESPESAS CORRENTES'!M6</f>
        <v>133424.78606666665</v>
      </c>
      <c r="Q16" s="135">
        <f>'[1]CIGO DESPESAS CORRENTES'!N6</f>
        <v>81163.07606666666</v>
      </c>
      <c r="R16" s="3">
        <f t="shared" si="3"/>
        <v>1582087.0377999998</v>
      </c>
      <c r="S16" s="112">
        <f t="shared" si="4"/>
        <v>0</v>
      </c>
    </row>
    <row r="17" spans="1:19" ht="28.5" customHeight="1" thickBot="1" thickTop="1">
      <c r="A17" s="128" t="s">
        <v>184</v>
      </c>
      <c r="B17" s="129">
        <f>1437+120295+25</f>
        <v>121757</v>
      </c>
      <c r="C17" s="129">
        <v>191325.97</v>
      </c>
      <c r="D17" s="134">
        <f>'[1]CGV DESPESAS CORRENTES'!B6</f>
        <v>214231.26040000003</v>
      </c>
      <c r="E17" s="126">
        <f>D17-'[1]Média das Despesas Àgua e Luz'!I9</f>
        <v>173569.42240000004</v>
      </c>
      <c r="F17" s="135">
        <f>'[1]CGV DESPESAS CORRENTES'!C6</f>
        <v>20046.0867</v>
      </c>
      <c r="G17" s="135">
        <f>'[1]CGV DESPESAS CORRENTES'!D6</f>
        <v>13094.1067</v>
      </c>
      <c r="H17" s="135">
        <f>'[1]CGV DESPESAS CORRENTES'!E6</f>
        <v>13094.1067</v>
      </c>
      <c r="I17" s="135">
        <f>'[1]CGV DESPESAS CORRENTES'!F6</f>
        <v>13244.1067</v>
      </c>
      <c r="J17" s="135">
        <f>'[1]CGV DESPESAS CORRENTES'!G6</f>
        <v>13094.1067</v>
      </c>
      <c r="K17" s="135">
        <f>'[1]CGV DESPESAS CORRENTES'!H6</f>
        <v>13094.1067</v>
      </c>
      <c r="L17" s="135">
        <f>'[1]CGV DESPESAS CORRENTES'!I6</f>
        <v>13094.1067</v>
      </c>
      <c r="M17" s="135">
        <f>'[1]CGV DESPESAS CORRENTES'!J6</f>
        <v>13094.1067</v>
      </c>
      <c r="N17" s="135">
        <f>'[1]CGV DESPESAS CORRENTES'!K6</f>
        <v>13094.1067</v>
      </c>
      <c r="O17" s="135">
        <f>'[1]CGV DESPESAS CORRENTES'!L6</f>
        <v>13094.1067</v>
      </c>
      <c r="P17" s="135">
        <f>'[1]CGV DESPESAS CORRENTES'!M6</f>
        <v>38094.1067</v>
      </c>
      <c r="Q17" s="135">
        <f>'[1]CGV DESPESAS CORRENTES'!N6</f>
        <v>38094.1067</v>
      </c>
      <c r="R17" s="3">
        <f t="shared" si="3"/>
        <v>214231.26040000003</v>
      </c>
      <c r="S17" s="112">
        <f t="shared" si="4"/>
        <v>0</v>
      </c>
    </row>
    <row r="18" spans="1:19" ht="33.75" customHeight="1" thickBot="1" thickTop="1">
      <c r="A18" s="128" t="s">
        <v>185</v>
      </c>
      <c r="B18" s="129">
        <f>2188971+53256+198</f>
        <v>2242425</v>
      </c>
      <c r="C18" s="129">
        <v>7187776.71</v>
      </c>
      <c r="D18" s="134">
        <f>'[1]GASB DESPESAS OPERACIONAIS'!B6</f>
        <v>7259363.482733335</v>
      </c>
      <c r="E18" s="126">
        <f>D18-'[1]Média das Despesas Àgua e Luz'!I10</f>
        <v>7259363.482733335</v>
      </c>
      <c r="F18" s="135">
        <f>'[1]GASB DESPESAS OPERACIONAIS'!C6</f>
        <v>510878.54578333336</v>
      </c>
      <c r="G18" s="135">
        <f>'[1]GASB DESPESAS OPERACIONAIS'!D6</f>
        <v>480350.83745000005</v>
      </c>
      <c r="H18" s="135">
        <f>'[1]GASB DESPESAS OPERACIONAIS'!E6</f>
        <v>472060.83745000005</v>
      </c>
      <c r="I18" s="135">
        <f>'[1]GASB DESPESAS OPERACIONAIS'!F6</f>
        <v>495560.83745000005</v>
      </c>
      <c r="J18" s="135">
        <f>'[1]GASB DESPESAS OPERACIONAIS'!G6</f>
        <v>472715.85307500005</v>
      </c>
      <c r="K18" s="135">
        <f>'[1]GASB DESPESAS OPERACIONAIS'!H6</f>
        <v>1111575.853075</v>
      </c>
      <c r="L18" s="135">
        <f>'[1]GASB DESPESAS OPERACIONAIS'!I6</f>
        <v>1134975.853075</v>
      </c>
      <c r="M18" s="135">
        <f>'[1]GASB DESPESAS OPERACIONAIS'!J6</f>
        <v>511575.85307500005</v>
      </c>
      <c r="N18" s="135">
        <f>'[1]GASB DESPESAS OPERACIONAIS'!K6</f>
        <v>511575.85307500005</v>
      </c>
      <c r="O18" s="135">
        <f>'[1]GASB DESPESAS OPERACIONAIS'!L6</f>
        <v>534975.853075</v>
      </c>
      <c r="P18" s="135">
        <f>'[1]GASB DESPESAS OPERACIONAIS'!M6</f>
        <v>511558.65307500004</v>
      </c>
      <c r="Q18" s="135">
        <f>'[1]GASB DESPESAS OPERACIONAIS'!N6</f>
        <v>511558.65307500004</v>
      </c>
      <c r="R18" s="3">
        <f t="shared" si="3"/>
        <v>7259363.482733335</v>
      </c>
      <c r="S18" s="112">
        <f t="shared" si="4"/>
        <v>0</v>
      </c>
    </row>
    <row r="19" spans="1:19" ht="26.25" customHeight="1" thickBot="1" thickTop="1">
      <c r="A19" s="128" t="s">
        <v>186</v>
      </c>
      <c r="B19" s="129">
        <f>6798987+208559</f>
        <v>7007546</v>
      </c>
      <c r="C19" s="129">
        <f>8800000+900000</f>
        <v>9700000</v>
      </c>
      <c r="D19" s="130">
        <f>'[1]NATAL DESPESAS OPERACIONAL'!B6</f>
        <v>10205000</v>
      </c>
      <c r="E19" s="126">
        <f>D19-'[1]Média das Despesas Àgua e Luz'!I11</f>
        <v>10205000</v>
      </c>
      <c r="F19" s="131">
        <f>'[1]NATAL DESPESAS OPERACIONAL'!C6</f>
        <v>0</v>
      </c>
      <c r="G19" s="131">
        <f>'[1]NATAL DESPESAS OPERACIONAL'!D6</f>
        <v>3000000</v>
      </c>
      <c r="H19" s="131">
        <f>'[1]NATAL DESPESAS OPERACIONAL'!E6</f>
        <v>2600000</v>
      </c>
      <c r="I19" s="131">
        <f>'[1]NATAL DESPESAS OPERACIONAL'!F6</f>
        <v>4015000</v>
      </c>
      <c r="J19" s="131">
        <f>'[1]NATAL DESPESAS OPERACIONAL'!G6</f>
        <v>488000</v>
      </c>
      <c r="K19" s="131">
        <f>'[1]NATAL DESPESAS OPERACIONAL'!H6</f>
        <v>102000</v>
      </c>
      <c r="L19" s="131">
        <f>'[1]NATAL DESPESAS OPERACIONAL'!I6</f>
        <v>0</v>
      </c>
      <c r="M19" s="131">
        <f>'[1]NATAL DESPESAS OPERACIONAL'!J6</f>
        <v>0</v>
      </c>
      <c r="N19" s="131">
        <f>'[1]NATAL DESPESAS OPERACIONAL'!K6</f>
        <v>0</v>
      </c>
      <c r="O19" s="131">
        <f>'[1]NATAL DESPESAS OPERACIONAL'!L6</f>
        <v>0</v>
      </c>
      <c r="P19" s="131">
        <f>'[1]NATAL DESPESAS OPERACIONAL'!M6</f>
        <v>0</v>
      </c>
      <c r="Q19" s="131">
        <f>'[1]NATAL DESPESAS OPERACIONAL'!N6</f>
        <v>0</v>
      </c>
      <c r="R19" s="3">
        <f t="shared" si="3"/>
        <v>10205000</v>
      </c>
      <c r="S19" s="112">
        <f t="shared" si="4"/>
        <v>0</v>
      </c>
    </row>
    <row r="20" spans="1:19" ht="33" customHeight="1" thickBot="1" thickTop="1">
      <c r="A20" s="128" t="s">
        <v>187</v>
      </c>
      <c r="B20" s="129">
        <f>978+30897+148+14378</f>
        <v>46401</v>
      </c>
      <c r="C20" s="129">
        <v>70000</v>
      </c>
      <c r="D20" s="130">
        <f>'[1]ROMARIAS MUQUÉM'!B6</f>
        <v>87500</v>
      </c>
      <c r="E20" s="126">
        <f>D20-'[1]Média das Despesas Àgua e Luz'!I12</f>
        <v>87500</v>
      </c>
      <c r="F20" s="131">
        <f>'[1]ROMARIAS MUQUÉM'!C6</f>
        <v>87500</v>
      </c>
      <c r="G20" s="131">
        <f>'[1]ROMARIAS MUQUÉM'!D6</f>
        <v>0</v>
      </c>
      <c r="H20" s="131">
        <f>'[1]ROMARIAS MUQUÉM'!E6</f>
        <v>0</v>
      </c>
      <c r="I20" s="131">
        <f>'[1]ROMARIAS MUQUÉM'!F6</f>
        <v>0</v>
      </c>
      <c r="J20" s="131">
        <f>'[1]ROMARIAS MUQUÉM'!G6</f>
        <v>0</v>
      </c>
      <c r="K20" s="131">
        <f>'[1]ROMARIAS MUQUÉM'!H6</f>
        <v>0</v>
      </c>
      <c r="L20" s="131">
        <f>'[1]ROMARIAS MUQUÉM'!I6</f>
        <v>0</v>
      </c>
      <c r="M20" s="131">
        <v>0</v>
      </c>
      <c r="N20" s="131">
        <v>0</v>
      </c>
      <c r="O20" s="131">
        <f>'[1]ROMARIAS MUQUÉM'!L6</f>
        <v>0</v>
      </c>
      <c r="P20" s="131">
        <f>'[1]ROMARIAS MUQUÉM'!M6</f>
        <v>0</v>
      </c>
      <c r="Q20" s="131">
        <f>'[1]ROMARIAS MUQUÉM'!N6</f>
        <v>0</v>
      </c>
      <c r="R20" s="3">
        <f t="shared" si="3"/>
        <v>87500</v>
      </c>
      <c r="S20" s="112">
        <f t="shared" si="4"/>
        <v>0</v>
      </c>
    </row>
    <row r="21" spans="1:19" ht="28.5" customHeight="1" thickBot="1" thickTop="1">
      <c r="A21" s="128" t="s">
        <v>188</v>
      </c>
      <c r="B21" s="129">
        <f>20359+79488+93+47986</f>
        <v>147926</v>
      </c>
      <c r="C21" s="129">
        <v>230000</v>
      </c>
      <c r="D21" s="132">
        <f>'[1]ROMARIA TRINDADE'!B7</f>
        <v>230000</v>
      </c>
      <c r="E21" s="126">
        <f>D21-'[1]Média das Despesas Àgua e Luz'!I13</f>
        <v>230000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f>'[1]ROMARIA TRINDADE'!C7</f>
        <v>0</v>
      </c>
      <c r="M21" s="133">
        <f>'[1]ROMARIA TRINDADE'!D7</f>
        <v>0</v>
      </c>
      <c r="N21" s="133">
        <f>'[1]ROMARIA TRINDADE'!E7</f>
        <v>0</v>
      </c>
      <c r="O21" s="133">
        <f>'[1]ROMARIA TRINDADE'!F7</f>
        <v>0</v>
      </c>
      <c r="P21" s="133">
        <f>'[1]ROMARIA TRINDADE'!G7</f>
        <v>230000</v>
      </c>
      <c r="Q21" s="133">
        <f>'[1]ROMARIA TRINDADE'!H7</f>
        <v>0</v>
      </c>
      <c r="R21" s="3">
        <f t="shared" si="3"/>
        <v>230000</v>
      </c>
      <c r="S21" s="112">
        <f t="shared" si="4"/>
        <v>0</v>
      </c>
    </row>
    <row r="22" spans="1:152" s="136" customFormat="1" ht="29.25" customHeight="1" thickBot="1" thickTop="1">
      <c r="A22" s="128" t="s">
        <v>189</v>
      </c>
      <c r="B22" s="129">
        <f>28560+20668+262</f>
        <v>49490</v>
      </c>
      <c r="C22" s="129">
        <v>120000</v>
      </c>
      <c r="D22" s="130">
        <f>'[1]RESTAURANTE DESPESAS OPERACIONA'!B6</f>
        <v>122635.58600000002</v>
      </c>
      <c r="E22" s="126">
        <f>D22-'[1]Média das Despesas Àgua e Luz'!I14</f>
        <v>122635.58600000002</v>
      </c>
      <c r="F22" s="131">
        <f>'[1]RESTAURANTE DESPESAS OPERACIONA'!C6</f>
        <v>10905.9655</v>
      </c>
      <c r="G22" s="131">
        <f>'[1]RESTAURANTE DESPESAS OPERACIONA'!D6</f>
        <v>10185.9655</v>
      </c>
      <c r="H22" s="131">
        <f>'[1]RESTAURANTE DESPESAS OPERACIONA'!E6</f>
        <v>8385.9655</v>
      </c>
      <c r="I22" s="131">
        <f>'[1]RESTAURANTE DESPESAS OPERACIONA'!F6</f>
        <v>9105.9655</v>
      </c>
      <c r="J22" s="131">
        <f>'[1]RESTAURANTE DESPESAS OPERACIONA'!G6</f>
        <v>15247.9655</v>
      </c>
      <c r="K22" s="131">
        <f>'[1]RESTAURANTE DESPESAS OPERACIONA'!H6</f>
        <v>8385.9655</v>
      </c>
      <c r="L22" s="131">
        <f>'[1]RESTAURANTE DESPESAS OPERACIONA'!I6</f>
        <v>10545.9655</v>
      </c>
      <c r="M22" s="131">
        <f>'[1]RESTAURANTE DESPESAS OPERACIONA'!J6</f>
        <v>10905.9655</v>
      </c>
      <c r="N22" s="131">
        <f>'[1]RESTAURANTE DESPESAS OPERACIONA'!K6</f>
        <v>8385.9655</v>
      </c>
      <c r="O22" s="131">
        <f>'[1]RESTAURANTE DESPESAS OPERACIONA'!L6</f>
        <v>8745.9655</v>
      </c>
      <c r="P22" s="131">
        <f>'[1]RESTAURANTE DESPESAS OPERACIONA'!M6</f>
        <v>14167.9655</v>
      </c>
      <c r="Q22" s="131">
        <f>'[1]RESTAURANTE DESPESAS OPERACIONA'!N6</f>
        <v>7665.9655</v>
      </c>
      <c r="R22" s="3">
        <f t="shared" si="3"/>
        <v>122635.58600000002</v>
      </c>
      <c r="S22" s="112">
        <f t="shared" si="4"/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</row>
    <row r="23" spans="1:19" ht="29.25" customHeight="1" thickBot="1" thickTop="1">
      <c r="A23" s="128" t="s">
        <v>190</v>
      </c>
      <c r="B23" s="129">
        <f>2873528+2694981+2347566+1181090+1088481+833736+771876+1037922+759937+645224+1320446+526564+980623+439104</f>
        <v>17501078</v>
      </c>
      <c r="C23" s="129">
        <f>19590610.69-(120000+712144.68)</f>
        <v>18758466.01</v>
      </c>
      <c r="D23" s="130">
        <f>'[1]RESTAURANTE DESPESAS OPERACIONA'!B7</f>
        <v>18184459.848080263</v>
      </c>
      <c r="E23" s="126">
        <f>D23-'[1]Média das Despesas Àgua e Luz'!I15</f>
        <v>18184459.848080263</v>
      </c>
      <c r="F23" s="131">
        <f>'[1]RESTAURANTE DESPESAS OPERACIONA'!C7</f>
        <v>1497790.4354545455</v>
      </c>
      <c r="G23" s="131">
        <f>'[1]RESTAURANTE DESPESAS OPERACIONA'!D7</f>
        <v>1531624.179525692</v>
      </c>
      <c r="H23" s="131">
        <f>'[1]RESTAURANTE DESPESAS OPERACIONA'!E7</f>
        <v>1482852.754853801</v>
      </c>
      <c r="I23" s="131">
        <f>'[1]RESTAURANTE DESPESAS OPERACIONA'!F7</f>
        <v>1565137.8009090913</v>
      </c>
      <c r="J23" s="131">
        <f>'[1]RESTAURANTE DESPESAS OPERACIONA'!G7</f>
        <v>1358040.0358479533</v>
      </c>
      <c r="K23" s="131">
        <f>'[1]RESTAURANTE DESPESAS OPERACIONA'!H7</f>
        <v>1302733.0323333333</v>
      </c>
      <c r="L23" s="131">
        <f>'[1]RESTAURANTE DESPESAS OPERACIONA'!I7</f>
        <v>1611807.597727273</v>
      </c>
      <c r="M23" s="131">
        <f>'[1]RESTAURANTE DESPESAS OPERACIONA'!J7</f>
        <v>1442547.8933333333</v>
      </c>
      <c r="N23" s="131">
        <f>'[1]RESTAURANTE DESPESAS OPERACIONA'!K7</f>
        <v>1699495.338095238</v>
      </c>
      <c r="O23" s="131">
        <f>'[1]RESTAURANTE DESPESAS OPERACIONA'!L7</f>
        <v>1549497.1333333333</v>
      </c>
      <c r="P23" s="131">
        <f>'[1]RESTAURANTE DESPESAS OPERACIONA'!M7</f>
        <v>1544636.1466666665</v>
      </c>
      <c r="Q23" s="131">
        <f>'[1]RESTAURANTE DESPESAS OPERACIONA'!N7</f>
        <v>1598297.5</v>
      </c>
      <c r="R23" s="3">
        <f t="shared" si="3"/>
        <v>18184459.848080263</v>
      </c>
      <c r="S23" s="112">
        <f t="shared" si="4"/>
        <v>0</v>
      </c>
    </row>
    <row r="24" spans="1:19" ht="29.25" customHeight="1" thickBot="1" thickTop="1">
      <c r="A24" s="128" t="s">
        <v>191</v>
      </c>
      <c r="B24" s="129"/>
      <c r="C24" s="129">
        <v>712144.68</v>
      </c>
      <c r="D24" s="130">
        <f>'[1]RESTAURANTE DESPESAS OPERACIONA'!B8</f>
        <v>569441.662</v>
      </c>
      <c r="E24" s="126">
        <f>D24-'[1]Média das Despesas Àgua e Luz'!I16</f>
        <v>569441.662</v>
      </c>
      <c r="F24" s="131">
        <f>'[1]RESTAURANTE DESPESAS OPERACIONA'!C8</f>
        <v>57340.19</v>
      </c>
      <c r="G24" s="131">
        <f>'[1]RESTAURANTE DESPESAS OPERACIONA'!D8</f>
        <v>45286.072</v>
      </c>
      <c r="H24" s="131">
        <f>'[1]RESTAURANTE DESPESAS OPERACIONA'!E8</f>
        <v>45286.072</v>
      </c>
      <c r="I24" s="131">
        <f>'[1]RESTAURANTE DESPESAS OPERACIONA'!F8</f>
        <v>46836.592000000004</v>
      </c>
      <c r="J24" s="131">
        <f>'[1]RESTAURANTE DESPESAS OPERACIONA'!G8</f>
        <v>46836.592000000004</v>
      </c>
      <c r="K24" s="131">
        <f>'[1]RESTAURANTE DESPESAS OPERACIONA'!H8</f>
        <v>46836.592000000004</v>
      </c>
      <c r="L24" s="131">
        <f>'[1]RESTAURANTE DESPESAS OPERACIONA'!I8</f>
        <v>46836.592000000004</v>
      </c>
      <c r="M24" s="131">
        <f>'[1]RESTAURANTE DESPESAS OPERACIONA'!J8</f>
        <v>46836.592000000004</v>
      </c>
      <c r="N24" s="131">
        <f>'[1]RESTAURANTE DESPESAS OPERACIONA'!K8</f>
        <v>46836.592000000004</v>
      </c>
      <c r="O24" s="131">
        <f>'[1]RESTAURANTE DESPESAS OPERACIONA'!L8</f>
        <v>46836.592000000004</v>
      </c>
      <c r="P24" s="131">
        <f>'[1]RESTAURANTE DESPESAS OPERACIONA'!M8</f>
        <v>46836.592000000004</v>
      </c>
      <c r="Q24" s="131">
        <f>'[1]RESTAURANTE DESPESAS OPERACIONA'!N8</f>
        <v>46836.592000000004</v>
      </c>
      <c r="R24" s="3">
        <f t="shared" si="3"/>
        <v>569441.662</v>
      </c>
      <c r="S24" s="112">
        <f t="shared" si="4"/>
        <v>0</v>
      </c>
    </row>
    <row r="25" spans="1:19" ht="33.75" customHeight="1" thickBot="1" thickTop="1">
      <c r="A25" s="128" t="s">
        <v>192</v>
      </c>
      <c r="B25" s="129">
        <v>0</v>
      </c>
      <c r="C25" s="129">
        <v>0</v>
      </c>
      <c r="D25" s="130">
        <f>'[1]RESTAURANTE DESPESAS OPERACIONA'!B9</f>
        <v>324000</v>
      </c>
      <c r="E25" s="126">
        <f>D25-'[1]Média das Despesas Àgua e Luz'!I17</f>
        <v>324000</v>
      </c>
      <c r="F25" s="131">
        <f>'[1]RESTAURANTE DESPESAS OPERACIONA'!C9</f>
        <v>51000</v>
      </c>
      <c r="G25" s="131">
        <f>'[1]RESTAURANTE DESPESAS OPERACIONA'!D9</f>
        <v>51000</v>
      </c>
      <c r="H25" s="131">
        <f>'[1]RESTAURANTE DESPESAS OPERACIONA'!E9</f>
        <v>51000</v>
      </c>
      <c r="I25" s="131">
        <f>'[1]RESTAURANTE DESPESAS OPERACIONA'!F9</f>
        <v>51000</v>
      </c>
      <c r="J25" s="131">
        <f>'[1]RESTAURANTE DESPESAS OPERACIONA'!G9</f>
        <v>51000</v>
      </c>
      <c r="K25" s="131">
        <f>'[1]RESTAURANTE DESPESAS OPERACIONA'!H9</f>
        <v>51000</v>
      </c>
      <c r="L25" s="131">
        <f>'[1]RESTAURANTE DESPESAS OPERACIONA'!I9</f>
        <v>3000</v>
      </c>
      <c r="M25" s="131">
        <f>'[1]RESTAURANTE DESPESAS OPERACIONA'!J9</f>
        <v>3000</v>
      </c>
      <c r="N25" s="131">
        <f>'[1]RESTAURANTE DESPESAS OPERACIONA'!K9</f>
        <v>3000</v>
      </c>
      <c r="O25" s="131">
        <f>'[1]RESTAURANTE DESPESAS OPERACIONA'!L9</f>
        <v>3000</v>
      </c>
      <c r="P25" s="131">
        <f>'[1]RESTAURANTE DESPESAS OPERACIONA'!M9</f>
        <v>3000</v>
      </c>
      <c r="Q25" s="131">
        <f>'[1]RESTAURANTE DESPESAS OPERACIONA'!N9</f>
        <v>3000</v>
      </c>
      <c r="R25" s="3">
        <f t="shared" si="3"/>
        <v>324000</v>
      </c>
      <c r="S25" s="112">
        <f t="shared" si="4"/>
        <v>0</v>
      </c>
    </row>
    <row r="26" spans="1:152" s="136" customFormat="1" ht="24" customHeight="1" thickBot="1" thickTop="1">
      <c r="A26" s="128" t="s">
        <v>193</v>
      </c>
      <c r="B26" s="129">
        <v>1364615</v>
      </c>
      <c r="C26" s="129">
        <f>785173.6+785173.6</f>
        <v>1570347.2</v>
      </c>
      <c r="D26" s="130">
        <f>1038100.0028+70</f>
        <v>1038170.0028</v>
      </c>
      <c r="E26" s="126">
        <f>D26-'[1]Média das Despesas Àgua e Luz'!I18</f>
        <v>1038170.0028</v>
      </c>
      <c r="F26" s="131">
        <f>'[1]PBU DESPESAS OPERACIONAIS'!C6</f>
        <v>148600.0028</v>
      </c>
      <c r="G26" s="131">
        <f>'[1]PBU DESPESAS OPERACIONAIS'!D6</f>
        <v>68100</v>
      </c>
      <c r="H26" s="131">
        <f>'[1]PBU DESPESAS OPERACIONAIS'!E6</f>
        <v>122100</v>
      </c>
      <c r="I26" s="131">
        <f>'[1]PBU DESPESAS OPERACIONAIS'!F6</f>
        <v>42100</v>
      </c>
      <c r="J26" s="131">
        <f>'[1]PBU DESPESAS OPERACIONAIS'!G6</f>
        <v>122100</v>
      </c>
      <c r="K26" s="131">
        <f>'[1]PBU DESPESAS OPERACIONAIS'!H6</f>
        <v>42100</v>
      </c>
      <c r="L26" s="131">
        <f>'[1]PBU DESPESAS OPERACIONAIS'!I6</f>
        <v>122600</v>
      </c>
      <c r="M26" s="131">
        <f>'[1]PBU DESPESAS OPERACIONAIS'!J6</f>
        <v>42100</v>
      </c>
      <c r="N26" s="131">
        <f>'[1]PBU DESPESAS OPERACIONAIS'!K6</f>
        <v>122100</v>
      </c>
      <c r="O26" s="131">
        <f>'[1]PBU DESPESAS OPERACIONAIS'!L6</f>
        <v>42100</v>
      </c>
      <c r="P26" s="131">
        <f>'[1]PBU DESPESAS OPERACIONAIS'!M6</f>
        <v>122100</v>
      </c>
      <c r="Q26" s="131">
        <f>'[1]PBU DESPESAS OPERACIONAIS'!N6</f>
        <v>42100</v>
      </c>
      <c r="R26" s="3">
        <f t="shared" si="3"/>
        <v>1038200.0028</v>
      </c>
      <c r="S26" s="112">
        <f t="shared" si="4"/>
        <v>30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9" ht="24" customHeight="1" thickBot="1" thickTop="1">
      <c r="A27" s="128" t="s">
        <v>194</v>
      </c>
      <c r="B27" s="129">
        <v>109657141</v>
      </c>
      <c r="C27" s="129">
        <f>8373120+51309000+7953120+46164600</f>
        <v>113799840</v>
      </c>
      <c r="D27" s="130">
        <f>'[1]PBU DESPESAS OPERACIONAIS'!B7</f>
        <v>61064628</v>
      </c>
      <c r="E27" s="126">
        <f>D27-'[1]Média das Despesas Àgua e Luz'!I19</f>
        <v>61064628</v>
      </c>
      <c r="F27" s="131">
        <f>'[1]PBU DESPESAS OPERACIONAIS'!C7</f>
        <v>5926297</v>
      </c>
      <c r="G27" s="131">
        <f>'[1]PBU DESPESAS OPERACIONAIS'!D7</f>
        <v>5926298</v>
      </c>
      <c r="H27" s="131">
        <f>'[1]PBU DESPESAS OPERACIONAIS'!E7</f>
        <v>5926299</v>
      </c>
      <c r="I27" s="131">
        <f>'[1]PBU DESPESAS OPERACIONAIS'!F7</f>
        <v>5926300</v>
      </c>
      <c r="J27" s="131">
        <f>'[1]PBU DESPESAS OPERACIONAIS'!G7</f>
        <v>5926301</v>
      </c>
      <c r="K27" s="131">
        <f>'[1]PBU DESPESAS OPERACIONAIS'!H7</f>
        <v>5926302</v>
      </c>
      <c r="L27" s="131">
        <f>'[1]PBU DESPESAS OPERACIONAIS'!I7</f>
        <v>4251136</v>
      </c>
      <c r="M27" s="131">
        <f>'[1]PBU DESPESAS OPERACIONAIS'!J7</f>
        <v>4251137</v>
      </c>
      <c r="N27" s="131">
        <f>'[1]PBU DESPESAS OPERACIONAIS'!K7</f>
        <v>4251138</v>
      </c>
      <c r="O27" s="131">
        <f>'[1]PBU DESPESAS OPERACIONAIS'!L7</f>
        <v>4251139</v>
      </c>
      <c r="P27" s="131">
        <f>'[1]PBU DESPESAS OPERACIONAIS'!M7</f>
        <v>4251140</v>
      </c>
      <c r="Q27" s="131">
        <f>'[1]PBU DESPESAS OPERACIONAIS'!N7</f>
        <v>4251141</v>
      </c>
      <c r="R27" s="3">
        <f>SUM(F27:Q27)</f>
        <v>61064628</v>
      </c>
      <c r="S27" s="112">
        <f t="shared" si="4"/>
        <v>0</v>
      </c>
    </row>
    <row r="28" spans="1:19" ht="24.75" customHeight="1" thickBot="1" thickTop="1">
      <c r="A28" s="128" t="s">
        <v>195</v>
      </c>
      <c r="B28" s="129">
        <f>1150+50+942771+1677133+10060</f>
        <v>2631164</v>
      </c>
      <c r="C28" s="129">
        <f>3693074.02+500000</f>
        <v>4193074.02</v>
      </c>
      <c r="D28" s="130">
        <f>'[1]SEDE DESPESAS CORRENTES'!B6</f>
        <v>5626501.2871</v>
      </c>
      <c r="E28" s="126">
        <f>D28-'[1]Média das Despesas Àgua e Luz'!I20</f>
        <v>5451501.0721</v>
      </c>
      <c r="F28" s="131">
        <f>'[1]SEDE DESPESAS CORRENTES'!C6</f>
        <v>967116.9537166668</v>
      </c>
      <c r="G28" s="131">
        <f>'[1]SEDE DESPESAS CORRENTES'!D6</f>
        <v>494590.5557166666</v>
      </c>
      <c r="H28" s="131">
        <f>'[1]SEDE DESPESAS CORRENTES'!E6</f>
        <v>453581.5557166667</v>
      </c>
      <c r="I28" s="131">
        <f>'[1]SEDE DESPESAS CORRENTES'!F6</f>
        <v>393417.13571666664</v>
      </c>
      <c r="J28" s="131">
        <f>'[1]SEDE DESPESAS CORRENTES'!G6</f>
        <v>395350.0402166667</v>
      </c>
      <c r="K28" s="131">
        <f>'[1]SEDE DESPESAS CORRENTES'!H6</f>
        <v>382633.29621666664</v>
      </c>
      <c r="L28" s="131">
        <f>'[1]SEDE DESPESAS CORRENTES'!I6</f>
        <v>393637.79705</v>
      </c>
      <c r="M28" s="131">
        <f>'[1]SEDE DESPESAS CORRENTES'!J6</f>
        <v>383025.39255000005</v>
      </c>
      <c r="N28" s="131">
        <f>'[1]SEDE DESPESAS CORRENTES'!K6</f>
        <v>476895.39255000005</v>
      </c>
      <c r="O28" s="131">
        <f>'[1]SEDE DESPESAS CORRENTES'!L6</f>
        <v>474295.39255000005</v>
      </c>
      <c r="P28" s="131">
        <f>'[1]SEDE DESPESAS CORRENTES'!M6</f>
        <v>472995.39255000005</v>
      </c>
      <c r="Q28" s="131">
        <f>'[1]SEDE DESPESAS CORRENTES'!N6</f>
        <v>338962.38255000004</v>
      </c>
      <c r="R28" s="3">
        <f t="shared" si="3"/>
        <v>5626501.2871</v>
      </c>
      <c r="S28" s="112">
        <f t="shared" si="4"/>
        <v>0</v>
      </c>
    </row>
    <row r="29" spans="1:152" s="136" customFormat="1" ht="27.75" customHeight="1" thickTop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</row>
    <row r="30" spans="1:152" s="136" customFormat="1" ht="29.25" customHeight="1">
      <c r="A30"/>
      <c r="B30"/>
      <c r="C30"/>
      <c r="D30" s="11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</row>
    <row r="31" ht="15.75" customHeight="1">
      <c r="D31" s="3"/>
    </row>
    <row r="32" spans="1:152" s="136" customFormat="1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52" s="136" customFormat="1" ht="27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:152" s="136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52" s="136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s="136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ht="15.75" customHeight="1"/>
    <row r="38" spans="1:152" s="136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s="136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s="136" customFormat="1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s="136" customFormat="1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s="136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s="136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ht="15.75" customHeight="1"/>
    <row r="45" spans="1:152" s="136" customFormat="1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s="136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s="136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s="136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ht="15.75" customHeight="1"/>
    <row r="50" spans="1:18" s="136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136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136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136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136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ht="15.75" customHeight="1"/>
    <row r="56" spans="1:18" s="136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136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136" customFormat="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ht="15.75" customHeight="1"/>
    <row r="60" spans="1:152" s="136" customFormat="1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s="136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s="136" customFormat="1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s="136" customFormat="1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s="136" customFormat="1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s="136" customFormat="1" ht="15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ht="15.75" customHeight="1"/>
    <row r="67" spans="1:152" s="136" customFormat="1" ht="29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s="136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s="136" customFormat="1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s="136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s="136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s="136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ht="15.75" customHeight="1"/>
    <row r="74" spans="1:152" s="136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s="136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s="136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ht="15.75" customHeight="1"/>
    <row r="78" spans="1:152" s="136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1:152" s="136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1:152" s="136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ht="15.75" customHeight="1"/>
    <row r="82" spans="1:152" s="136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</row>
    <row r="83" spans="1:152" s="136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</row>
    <row r="84" spans="1:152" s="136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ht="15.75" customHeight="1"/>
    <row r="86" spans="1:152" s="136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</row>
    <row r="87" spans="1:152" s="136" customFormat="1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</row>
    <row r="88" spans="1:152" s="136" customFormat="1" ht="15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</row>
    <row r="89" ht="15.75" customHeight="1"/>
    <row r="90" spans="1:18" s="136" customFormat="1" ht="15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36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36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ht="15.75" customHeight="1"/>
    <row r="94" spans="1:152" s="136" customFormat="1" ht="1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</row>
    <row r="95" spans="1:152" s="136" customFormat="1" ht="15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</row>
    <row r="96" spans="1:152" s="136" customFormat="1" ht="15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</row>
    <row r="97" spans="1:152" s="136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</row>
    <row r="98" spans="1:152" s="136" customFormat="1" ht="26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</row>
    <row r="99" ht="15.75" customHeight="1"/>
    <row r="100" spans="1:152" s="136" customFormat="1" ht="15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</row>
    <row r="101" spans="1:152" s="136" customFormat="1" ht="15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</row>
    <row r="102" spans="1:152" s="136" customFormat="1" ht="15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</row>
    <row r="103" spans="1:152" s="136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ht="15.75" customHeight="1"/>
    <row r="105" spans="1:152" s="136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</row>
    <row r="106" spans="1:152" s="136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</row>
    <row r="107" spans="1:152" s="136" customFormat="1" ht="15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</row>
    <row r="108" spans="1:152" s="136" customFormat="1" ht="15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</row>
    <row r="109" spans="1:152" s="136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</row>
    <row r="110" spans="1:152" s="136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</row>
    <row r="111" spans="1:152" s="136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</row>
    <row r="112" spans="1:152" s="136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</row>
    <row r="113" ht="15.75" customHeight="1"/>
    <row r="114" spans="1:152" s="136" customFormat="1" ht="1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</row>
    <row r="115" spans="1:152" s="136" customFormat="1" ht="1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</row>
    <row r="116" ht="15.75" customHeight="1"/>
    <row r="117" spans="1:152" s="136" customFormat="1" ht="15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</row>
    <row r="118" spans="1:152" s="136" customFormat="1" ht="15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</row>
    <row r="119" ht="15.75" customHeight="1"/>
    <row r="120" spans="1:18" s="136" customFormat="1" ht="15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136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52" s="137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</row>
    <row r="123" spans="1:18" s="136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136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D1"/>
    </sheetView>
  </sheetViews>
  <sheetFormatPr defaultColWidth="9.140625" defaultRowHeight="15"/>
  <cols>
    <col min="1" max="1" width="67.7109375" style="0" customWidth="1"/>
    <col min="2" max="2" width="18.28125" style="0" hidden="1" customWidth="1"/>
    <col min="3" max="3" width="16.28125" style="0" hidden="1" customWidth="1"/>
    <col min="4" max="4" width="16.28125" style="0" bestFit="1" customWidth="1"/>
    <col min="5" max="11" width="15.28125" style="0" bestFit="1" customWidth="1"/>
    <col min="12" max="12" width="17.00390625" style="0" customWidth="1"/>
    <col min="13" max="13" width="15.28125" style="0" bestFit="1" customWidth="1"/>
    <col min="14" max="14" width="15.28125" style="0" customWidth="1"/>
    <col min="15" max="16" width="15.28125" style="0" bestFit="1" customWidth="1"/>
  </cols>
  <sheetData>
    <row r="1" spans="2:5" ht="27.75" customHeight="1" thickBot="1">
      <c r="B1" s="304" t="s">
        <v>51</v>
      </c>
      <c r="C1" s="304"/>
      <c r="D1" s="304"/>
      <c r="E1">
        <f>100-76</f>
        <v>24</v>
      </c>
    </row>
    <row r="2" spans="1:16" ht="20.25" customHeight="1" thickBot="1" thickTop="1">
      <c r="A2" s="298" t="s">
        <v>168</v>
      </c>
      <c r="B2" s="299" t="s">
        <v>169</v>
      </c>
      <c r="C2" s="299" t="s">
        <v>170</v>
      </c>
      <c r="D2" s="301" t="s">
        <v>196</v>
      </c>
      <c r="E2" s="297" t="s">
        <v>48</v>
      </c>
      <c r="F2" s="297" t="s">
        <v>49</v>
      </c>
      <c r="G2" s="297" t="s">
        <v>50</v>
      </c>
      <c r="H2" s="297" t="s">
        <v>57</v>
      </c>
      <c r="I2" s="297" t="s">
        <v>58</v>
      </c>
      <c r="J2" s="297" t="s">
        <v>59</v>
      </c>
      <c r="K2" s="297" t="s">
        <v>60</v>
      </c>
      <c r="L2" s="297" t="s">
        <v>61</v>
      </c>
      <c r="M2" s="297" t="s">
        <v>62</v>
      </c>
      <c r="N2" s="297" t="s">
        <v>63</v>
      </c>
      <c r="O2" s="297" t="s">
        <v>64</v>
      </c>
      <c r="P2" s="297" t="s">
        <v>65</v>
      </c>
    </row>
    <row r="3" spans="1:16" ht="20.25" customHeight="1" thickBot="1" thickTop="1">
      <c r="A3" s="298"/>
      <c r="B3" s="300"/>
      <c r="C3" s="300"/>
      <c r="D3" s="301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45.75" customHeight="1" thickBot="1" thickTop="1">
      <c r="A4" s="117" t="s">
        <v>173</v>
      </c>
      <c r="B4" s="118">
        <f>B5+B6+B7</f>
        <v>29609254</v>
      </c>
      <c r="C4" s="118">
        <f>C5+C6+C7</f>
        <v>41547244.98</v>
      </c>
      <c r="D4" s="118">
        <f>D5+D6+D7</f>
        <v>42067632.617999524</v>
      </c>
      <c r="E4" s="118">
        <f aca="true" t="shared" si="0" ref="E4:P4">E5+E6+E7</f>
        <v>3459165.790354749</v>
      </c>
      <c r="F4" s="118">
        <f t="shared" si="0"/>
        <v>3500753.208354749</v>
      </c>
      <c r="G4" s="118">
        <f t="shared" si="0"/>
        <v>3460386.2440547487</v>
      </c>
      <c r="H4" s="118">
        <f t="shared" si="0"/>
        <v>3457876.798054749</v>
      </c>
      <c r="I4" s="118">
        <f t="shared" si="0"/>
        <v>3457876.798054749</v>
      </c>
      <c r="J4" s="118">
        <f t="shared" si="0"/>
        <v>3528534.0654547485</v>
      </c>
      <c r="K4" s="118">
        <f t="shared" si="0"/>
        <v>3462348.2174873753</v>
      </c>
      <c r="L4" s="118">
        <f t="shared" si="0"/>
        <v>3459490.624487376</v>
      </c>
      <c r="M4" s="118">
        <f t="shared" si="0"/>
        <v>3544007.561748072</v>
      </c>
      <c r="N4" s="118">
        <f t="shared" si="0"/>
        <v>3545731.1033160724</v>
      </c>
      <c r="O4" s="118">
        <f t="shared" si="0"/>
        <v>3545731.1033160724</v>
      </c>
      <c r="P4" s="118">
        <f t="shared" si="0"/>
        <v>3645731.1033160724</v>
      </c>
    </row>
    <row r="5" spans="1:16" ht="45.75" customHeight="1" thickBot="1">
      <c r="A5" s="120" t="s">
        <v>175</v>
      </c>
      <c r="B5" s="121">
        <f>B8+B9+B10+B11+B22+B12+B13+B14+B15+B16+B17+B18+B19</f>
        <v>25981944</v>
      </c>
      <c r="C5" s="121">
        <f>C8+C9+C10+C11+C22+C12+C13+C14+C15+C16+C17+C18+C19</f>
        <v>36602002.15</v>
      </c>
      <c r="D5" s="121">
        <f>D8+D9+D10+D11+D22+D12+D13+D14+D15+D16+D17+D18+D19</f>
        <v>36425255.6946075</v>
      </c>
      <c r="E5" s="121">
        <f aca="true" t="shared" si="1" ref="E5:P5">E8+E9+E10+E11+E22+E12+E13+E14+E15+E16+E17+E18+E19</f>
        <v>2992739.360401972</v>
      </c>
      <c r="F5" s="121">
        <f t="shared" si="1"/>
        <v>3034326.778401972</v>
      </c>
      <c r="G5" s="121">
        <f t="shared" si="1"/>
        <v>2993959.814101972</v>
      </c>
      <c r="H5" s="121">
        <f t="shared" si="1"/>
        <v>2991450.368101972</v>
      </c>
      <c r="I5" s="121">
        <f t="shared" si="1"/>
        <v>2991450.368101972</v>
      </c>
      <c r="J5" s="121">
        <f t="shared" si="1"/>
        <v>3062107.635501972</v>
      </c>
      <c r="K5" s="121">
        <f t="shared" si="1"/>
        <v>2995921.7875345987</v>
      </c>
      <c r="L5" s="121">
        <f t="shared" si="1"/>
        <v>2993064.194534599</v>
      </c>
      <c r="M5" s="121">
        <f t="shared" si="1"/>
        <v>3066342.54013962</v>
      </c>
      <c r="N5" s="121">
        <f t="shared" si="1"/>
        <v>3067964.2825956205</v>
      </c>
      <c r="O5" s="121">
        <f t="shared" si="1"/>
        <v>3067964.2825956205</v>
      </c>
      <c r="P5" s="121">
        <f t="shared" si="1"/>
        <v>3167964.2825956205</v>
      </c>
    </row>
    <row r="6" spans="1:16" ht="45.75" customHeight="1" thickBot="1">
      <c r="A6" s="120" t="s">
        <v>176</v>
      </c>
      <c r="B6" s="121">
        <f>B21</f>
        <v>2695898</v>
      </c>
      <c r="C6" s="121">
        <f>C21</f>
        <v>3848528.51</v>
      </c>
      <c r="D6" s="121">
        <f>D21</f>
        <v>4419376.342727917</v>
      </c>
      <c r="E6" s="121">
        <f aca="true" t="shared" si="2" ref="E6:P6">E21</f>
        <v>365420.15101274586</v>
      </c>
      <c r="F6" s="121">
        <f t="shared" si="2"/>
        <v>365420.15101274586</v>
      </c>
      <c r="G6" s="121">
        <f t="shared" si="2"/>
        <v>365420.15101274586</v>
      </c>
      <c r="H6" s="121">
        <f t="shared" si="2"/>
        <v>365420.15101274586</v>
      </c>
      <c r="I6" s="121">
        <f t="shared" si="2"/>
        <v>365420.15101274586</v>
      </c>
      <c r="J6" s="121">
        <f t="shared" si="2"/>
        <v>365420.15101274586</v>
      </c>
      <c r="K6" s="121">
        <f t="shared" si="2"/>
        <v>365420.15101274586</v>
      </c>
      <c r="L6" s="121">
        <f t="shared" si="2"/>
        <v>365420.15101274586</v>
      </c>
      <c r="M6" s="121">
        <f t="shared" si="2"/>
        <v>373932.3071684875</v>
      </c>
      <c r="N6" s="121">
        <f t="shared" si="2"/>
        <v>374027.6091524875</v>
      </c>
      <c r="O6" s="121">
        <f t="shared" si="2"/>
        <v>374027.6091524875</v>
      </c>
      <c r="P6" s="121">
        <f t="shared" si="2"/>
        <v>374027.6091524875</v>
      </c>
    </row>
    <row r="7" spans="1:16" ht="45.75" customHeight="1" thickBot="1">
      <c r="A7" s="120" t="s">
        <v>177</v>
      </c>
      <c r="B7" s="121">
        <f>B20</f>
        <v>931412</v>
      </c>
      <c r="C7" s="121">
        <f>C20</f>
        <v>1096714.32</v>
      </c>
      <c r="D7" s="121">
        <f>D20</f>
        <v>1223000.580664106</v>
      </c>
      <c r="E7" s="121">
        <f aca="true" t="shared" si="3" ref="E7:P7">E20</f>
        <v>101006.27894003107</v>
      </c>
      <c r="F7" s="121">
        <f t="shared" si="3"/>
        <v>101006.27894003107</v>
      </c>
      <c r="G7" s="121">
        <f t="shared" si="3"/>
        <v>101006.27894003107</v>
      </c>
      <c r="H7" s="121">
        <f t="shared" si="3"/>
        <v>101006.27894003107</v>
      </c>
      <c r="I7" s="121">
        <f t="shared" si="3"/>
        <v>101006.27894003107</v>
      </c>
      <c r="J7" s="121">
        <f t="shared" si="3"/>
        <v>101006.27894003107</v>
      </c>
      <c r="K7" s="121">
        <f t="shared" si="3"/>
        <v>101006.27894003107</v>
      </c>
      <c r="L7" s="121">
        <f t="shared" si="3"/>
        <v>101006.27894003107</v>
      </c>
      <c r="M7" s="121">
        <f t="shared" si="3"/>
        <v>103732.7144399643</v>
      </c>
      <c r="N7" s="121">
        <f t="shared" si="3"/>
        <v>103739.21156796429</v>
      </c>
      <c r="O7" s="121">
        <f t="shared" si="3"/>
        <v>103739.21156796429</v>
      </c>
      <c r="P7" s="121">
        <f t="shared" si="3"/>
        <v>103739.21156796429</v>
      </c>
    </row>
    <row r="8" spans="1:16" ht="33" customHeight="1" thickBot="1">
      <c r="A8" s="124" t="s">
        <v>178</v>
      </c>
      <c r="B8" s="125">
        <f>680814+2865034</f>
        <v>3545848</v>
      </c>
      <c r="C8" s="125">
        <v>4213231.17</v>
      </c>
      <c r="D8" s="126">
        <f>'[1]PESSOAL ROGÉRIO'!AD152</f>
        <v>5380214.347206575</v>
      </c>
      <c r="E8" s="126">
        <f>'[1]CGSF PESSOAL E ENCARGOS'!C5</f>
        <v>443520.81776560197</v>
      </c>
      <c r="F8" s="126">
        <f>'[1]CGSF PESSOAL E ENCARGOS'!D5</f>
        <v>443520.81776560197</v>
      </c>
      <c r="G8" s="126">
        <f>'[1]CGSF PESSOAL E ENCARGOS'!E5</f>
        <v>443520.81776560197</v>
      </c>
      <c r="H8" s="126">
        <f>'[1]CGSF PESSOAL E ENCARGOS'!F5</f>
        <v>443520.81776560197</v>
      </c>
      <c r="I8" s="126">
        <f>'[1]CGSF PESSOAL E ENCARGOS'!G5</f>
        <v>443520.81776560197</v>
      </c>
      <c r="J8" s="126">
        <f>'[1]CGSF PESSOAL E ENCARGOS'!H5</f>
        <v>444199.25496560195</v>
      </c>
      <c r="K8" s="126">
        <f>'[1]CGSF PESSOAL E ENCARGOS'!I5</f>
        <v>444516.18124076445</v>
      </c>
      <c r="L8" s="126">
        <f>'[1]CGSF PESSOAL E ENCARGOS'!J5</f>
        <v>444516.18124076445</v>
      </c>
      <c r="M8" s="126">
        <f>'[1]CGSF PESSOAL E ENCARGOS'!K5</f>
        <v>457120.81292285863</v>
      </c>
      <c r="N8" s="126">
        <f>'[1]CGSF PESSOAL E ENCARGOS'!L5</f>
        <v>457419.27600285853</v>
      </c>
      <c r="O8" s="126">
        <f>'[1]CGSF PESSOAL E ENCARGOS'!M5</f>
        <v>457419.27600285853</v>
      </c>
      <c r="P8" s="126">
        <f>'[1]CGSF PESSOAL E ENCARGOS'!N5</f>
        <v>457419.27600285853</v>
      </c>
    </row>
    <row r="9" spans="1:16" ht="33" customHeight="1" thickBot="1" thickTop="1">
      <c r="A9" s="128" t="s">
        <v>179</v>
      </c>
      <c r="B9" s="129">
        <f>589146+991644</f>
        <v>1580790</v>
      </c>
      <c r="C9" s="129">
        <v>1996044.74</v>
      </c>
      <c r="D9" s="130">
        <f>'[1]PESSOAL ROGÉRIO'!AD132</f>
        <v>2034287.2845974565</v>
      </c>
      <c r="E9" s="130">
        <f>'[1]CCIVV DEP PESSOAL '!C5</f>
        <v>167839.2032819301</v>
      </c>
      <c r="F9" s="130">
        <f>'[1]CCIVV DEP PESSOAL '!D5</f>
        <v>167839.2032819301</v>
      </c>
      <c r="G9" s="130">
        <f>'[1]CCIVV DEP PESSOAL '!E5</f>
        <v>167839.2032819301</v>
      </c>
      <c r="H9" s="130">
        <f>'[1]CCIVV DEP PESSOAL '!F5</f>
        <v>167839.2032819301</v>
      </c>
      <c r="I9" s="130">
        <f>'[1]CCIVV DEP PESSOAL '!G5</f>
        <v>167839.2032819301</v>
      </c>
      <c r="J9" s="130">
        <f>'[1]CCIVV DEP PESSOAL '!H5</f>
        <v>167839.2032819301</v>
      </c>
      <c r="K9" s="130">
        <f>'[1]CCIVV DEP PESSOAL '!I5</f>
        <v>168029.3469897824</v>
      </c>
      <c r="L9" s="130">
        <f>'[1]CCIVV DEP PESSOAL '!J5</f>
        <v>168029.3469897824</v>
      </c>
      <c r="M9" s="130">
        <f>'[1]CCIVV DEP PESSOAL '!K5</f>
        <v>172681.43745357776</v>
      </c>
      <c r="N9" s="130">
        <f>'[1]CCIVV DEP PESSOAL '!L5</f>
        <v>172837.3111575778</v>
      </c>
      <c r="O9" s="130">
        <f>'[1]CCIVV DEP PESSOAL '!M5</f>
        <v>172837.3111575778</v>
      </c>
      <c r="P9" s="130">
        <f>'[1]CCIVV DEP PESSOAL '!N5</f>
        <v>172837.3111575778</v>
      </c>
    </row>
    <row r="10" spans="1:16" ht="33" customHeight="1" thickBot="1" thickTop="1">
      <c r="A10" s="128" t="s">
        <v>180</v>
      </c>
      <c r="B10" s="129">
        <f>335218+734987</f>
        <v>1070205</v>
      </c>
      <c r="C10" s="129">
        <v>1288395.73</v>
      </c>
      <c r="D10" s="130">
        <f>'[1]PESSOAL ROGÉRIO'!AD111</f>
        <v>1281799.0862670415</v>
      </c>
      <c r="E10" s="130">
        <f>'[1]CCICM PESSOAL E ENCARGOS'!C5</f>
        <v>105744.3635796886</v>
      </c>
      <c r="F10" s="130">
        <f>'[1]CCICM PESSOAL E ENCARGOS'!D5</f>
        <v>105744.3635796886</v>
      </c>
      <c r="G10" s="130">
        <f>'[1]CCICM PESSOAL E ENCARGOS'!E5</f>
        <v>105744.3635796886</v>
      </c>
      <c r="H10" s="130">
        <f>'[1]CCICM PESSOAL E ENCARGOS'!F5</f>
        <v>105744.3635796886</v>
      </c>
      <c r="I10" s="130">
        <f>'[1]CCICM PESSOAL E ENCARGOS'!G5</f>
        <v>105744.3635796886</v>
      </c>
      <c r="J10" s="130">
        <f>'[1]CCICM PESSOAL E ENCARGOS'!H5</f>
        <v>105744.3635796886</v>
      </c>
      <c r="K10" s="130">
        <f>'[1]CCICM PESSOAL E ENCARGOS'!I5</f>
        <v>105744.3635796886</v>
      </c>
      <c r="L10" s="130">
        <f>'[1]CCICM PESSOAL E ENCARGOS'!J5</f>
        <v>105744.3635796886</v>
      </c>
      <c r="M10" s="130">
        <f>'[1]CCICM PESSOAL E ENCARGOS'!K5</f>
        <v>108925.25950138328</v>
      </c>
      <c r="N10" s="130">
        <f>'[1]CCICM PESSOAL E ENCARGOS'!L5</f>
        <v>108972.97270938328</v>
      </c>
      <c r="O10" s="130">
        <f>'[1]CCICM PESSOAL E ENCARGOS'!M5</f>
        <v>108972.97270938328</v>
      </c>
      <c r="P10" s="130">
        <f>'[1]CCICM PESSOAL E ENCARGOS'!N5</f>
        <v>108972.97270938328</v>
      </c>
    </row>
    <row r="11" spans="1:16" ht="33" customHeight="1" thickBot="1" thickTop="1">
      <c r="A11" s="128" t="s">
        <v>181</v>
      </c>
      <c r="B11" s="129">
        <f>352815+478585</f>
        <v>831400</v>
      </c>
      <c r="C11" s="129">
        <v>1054383.85</v>
      </c>
      <c r="D11" s="132">
        <f>'[1]PESSOAL ROGÉRIO'!AD90</f>
        <v>997372.6346479561</v>
      </c>
      <c r="E11" s="132">
        <f>'[1]CCINF PESSOAL E ENCARGOS'!C5</f>
        <v>82319.94246052271</v>
      </c>
      <c r="F11" s="132">
        <f>'[1]CCINF PESSOAL E ENCARGOS'!D5</f>
        <v>82319.94246052271</v>
      </c>
      <c r="G11" s="132">
        <f>'[1]CCINF PESSOAL E ENCARGOS'!E5</f>
        <v>82319.94246052271</v>
      </c>
      <c r="H11" s="132">
        <f>'[1]CCINF PESSOAL E ENCARGOS'!F5</f>
        <v>82319.94246052271</v>
      </c>
      <c r="I11" s="132">
        <f>'[1]CCINF PESSOAL E ENCARGOS'!G5</f>
        <v>82319.94246052271</v>
      </c>
      <c r="J11" s="132">
        <f>'[1]CCINF PESSOAL E ENCARGOS'!H5</f>
        <v>82319.94246052271</v>
      </c>
      <c r="K11" s="132">
        <f>'[1]CCINF PESSOAL E ENCARGOS'!I5</f>
        <v>82319.94246052271</v>
      </c>
      <c r="L11" s="132">
        <f>'[1]CCINF PESSOAL E ENCARGOS'!J5</f>
        <v>82319.94246052271</v>
      </c>
      <c r="M11" s="132">
        <f>'[1]CCINF PESSOAL E ENCARGOS'!K5</f>
        <v>84695.76237094362</v>
      </c>
      <c r="N11" s="132">
        <f>'[1]CCINF PESSOAL E ENCARGOS'!L5</f>
        <v>84705.77753094363</v>
      </c>
      <c r="O11" s="132">
        <f>'[1]CCINF PESSOAL E ENCARGOS'!M5</f>
        <v>84705.77753094363</v>
      </c>
      <c r="P11" s="132">
        <f>'[1]CCINF PESSOAL E ENCARGOS'!N5</f>
        <v>84705.77753094363</v>
      </c>
    </row>
    <row r="12" spans="1:16" ht="33" customHeight="1" thickBot="1" thickTop="1">
      <c r="A12" s="128" t="s">
        <v>182</v>
      </c>
      <c r="B12" s="129">
        <f>263591+511507</f>
        <v>775098</v>
      </c>
      <c r="C12" s="129">
        <v>984156.1</v>
      </c>
      <c r="D12" s="134">
        <f>'[1]PESSOAL ROGÉRIO'!AD70</f>
        <v>1158138.9626435505</v>
      </c>
      <c r="E12" s="134">
        <f>'[1]CCANM PESSOAL E ENCARGOS'!C5</f>
        <v>95589.5795664762</v>
      </c>
      <c r="F12" s="134">
        <f>'[1]CCANM PESSOAL E ENCARGOS'!D5</f>
        <v>95589.5795664762</v>
      </c>
      <c r="G12" s="134">
        <f>'[1]CCANM PESSOAL E ENCARGOS'!E5</f>
        <v>95589.5795664762</v>
      </c>
      <c r="H12" s="134">
        <f>'[1]CCANM PESSOAL E ENCARGOS'!F5</f>
        <v>95589.5795664762</v>
      </c>
      <c r="I12" s="134">
        <f>'[1]CCANM PESSOAL E ENCARGOS'!G5</f>
        <v>95589.5795664762</v>
      </c>
      <c r="J12" s="134">
        <f>'[1]CCANM PESSOAL E ENCARGOS'!H5</f>
        <v>95589.5795664762</v>
      </c>
      <c r="K12" s="134">
        <f>'[1]CCANM PESSOAL E ENCARGOS'!I5</f>
        <v>95589.5795664762</v>
      </c>
      <c r="L12" s="134">
        <f>'[1]CCANM PESSOAL E ENCARGOS'!J5</f>
        <v>95589.5795664762</v>
      </c>
      <c r="M12" s="134">
        <f>'[1]CCANM PESSOAL E ENCARGOS'!K5</f>
        <v>98268.21087193525</v>
      </c>
      <c r="N12" s="134">
        <f>'[1]CCANM PESSOAL E ENCARGOS'!L5</f>
        <v>98384.70507993526</v>
      </c>
      <c r="O12" s="134">
        <f>'[1]CCANM PESSOAL E ENCARGOS'!M5</f>
        <v>98384.70507993526</v>
      </c>
      <c r="P12" s="134">
        <f>'[1]CCANM PESSOAL E ENCARGOS'!N5</f>
        <v>98384.70507993526</v>
      </c>
    </row>
    <row r="13" spans="1:16" ht="33" customHeight="1" thickBot="1" thickTop="1">
      <c r="A13" s="128" t="s">
        <v>183</v>
      </c>
      <c r="B13" s="129">
        <f>194161+881267</f>
        <v>1075428</v>
      </c>
      <c r="C13" s="129">
        <v>1461313.32</v>
      </c>
      <c r="D13" s="134">
        <f>'[1]PESSOAL ROGÉRIO'!AD49</f>
        <v>1285672.6595456542</v>
      </c>
      <c r="E13" s="134">
        <f>'[1]CSDGB PESSOAL E ENCARGOS'!C5</f>
        <v>106268.71917519812</v>
      </c>
      <c r="F13" s="134">
        <f>'[1]CSDGB PESSOAL E ENCARGOS'!D5</f>
        <v>106268.71917519812</v>
      </c>
      <c r="G13" s="134">
        <f>'[1]CSDGB PESSOAL E ENCARGOS'!E5</f>
        <v>106268.71917519812</v>
      </c>
      <c r="H13" s="134">
        <f>'[1]CSDGB PESSOAL E ENCARGOS'!F5</f>
        <v>106268.71917519812</v>
      </c>
      <c r="I13" s="134">
        <f>'[1]CSDGB PESSOAL E ENCARGOS'!G5</f>
        <v>106268.71917519812</v>
      </c>
      <c r="J13" s="134">
        <f>'[1]CSDGB PESSOAL E ENCARGOS'!H5</f>
        <v>106268.71917519812</v>
      </c>
      <c r="K13" s="134">
        <f>'[1]CSDGB PESSOAL E ENCARGOS'!I5</f>
        <v>106363.1855286685</v>
      </c>
      <c r="L13" s="134">
        <f>'[1]CSDGB PESSOAL E ENCARGOS'!J5</f>
        <v>106363.1855286685</v>
      </c>
      <c r="M13" s="134">
        <f>'[1]CSDGB PESSOAL E ENCARGOS'!K5</f>
        <v>108809.77330728213</v>
      </c>
      <c r="N13" s="134">
        <f>'[1]CSDGB PESSOAL E ENCARGOS'!L5</f>
        <v>108841.40004328212</v>
      </c>
      <c r="O13" s="134">
        <f>'[1]CSDGB PESSOAL E ENCARGOS'!M5</f>
        <v>108841.40004328212</v>
      </c>
      <c r="P13" s="134">
        <f>'[1]CSDGB PESSOAL E ENCARGOS'!N5</f>
        <v>108841.40004328212</v>
      </c>
    </row>
    <row r="14" spans="1:16" ht="33" customHeight="1" thickBot="1" thickTop="1">
      <c r="A14" s="128" t="s">
        <v>119</v>
      </c>
      <c r="B14" s="129">
        <f>758924+1027547</f>
        <v>1786471</v>
      </c>
      <c r="C14" s="129">
        <v>2299875.16</v>
      </c>
      <c r="D14" s="134">
        <f>'[1]PESSOAL ROGÉRIO'!AD27</f>
        <v>2224730.2394742286</v>
      </c>
      <c r="E14" s="134">
        <f>'[1]CIGO PESSOAL E ENCARGOS'!C5</f>
        <v>183575.71837820119</v>
      </c>
      <c r="F14" s="134">
        <f>'[1]CIGO PESSOAL E ENCARGOS'!D5</f>
        <v>183575.71837820119</v>
      </c>
      <c r="G14" s="134">
        <f>'[1]CIGO PESSOAL E ENCARGOS'!E5</f>
        <v>183575.71837820119</v>
      </c>
      <c r="H14" s="134">
        <f>'[1]CIGO PESSOAL E ENCARGOS'!F5</f>
        <v>183575.71837820119</v>
      </c>
      <c r="I14" s="134">
        <f>'[1]CIGO PESSOAL E ENCARGOS'!G5</f>
        <v>183575.71837820119</v>
      </c>
      <c r="J14" s="134">
        <f>'[1]CIGO PESSOAL E ENCARGOS'!H5</f>
        <v>183575.71837820119</v>
      </c>
      <c r="K14" s="134">
        <f>'[1]CIGO PESSOAL E ENCARGOS'!I5</f>
        <v>183834.13130109472</v>
      </c>
      <c r="L14" s="134">
        <f>'[1]CIGO PESSOAL E ENCARGOS'!J5</f>
        <v>183834.13130109472</v>
      </c>
      <c r="M14" s="134">
        <f>'[1]CIGO PESSOAL E ENCARGOS'!K5</f>
        <v>188715.08139670797</v>
      </c>
      <c r="N14" s="134">
        <f>'[1]CIGO PESSOAL E ENCARGOS'!L5</f>
        <v>188964.19506870798</v>
      </c>
      <c r="O14" s="134">
        <f>'[1]CIGO PESSOAL E ENCARGOS'!M5</f>
        <v>188964.19506870798</v>
      </c>
      <c r="P14" s="134">
        <f>'[1]CIGO PESSOAL E ENCARGOS'!N5</f>
        <v>188964.19506870798</v>
      </c>
    </row>
    <row r="15" spans="1:16" ht="33" customHeight="1" thickBot="1" thickTop="1">
      <c r="A15" s="128" t="s">
        <v>184</v>
      </c>
      <c r="B15" s="129">
        <f>245713+317445</f>
        <v>563158</v>
      </c>
      <c r="C15" s="129">
        <v>671556.28</v>
      </c>
      <c r="D15" s="302">
        <f>'[1]PESSOAL ROGÉRIO'!AD212</f>
        <v>3353662.2934555886</v>
      </c>
      <c r="E15" s="302">
        <f>'[1]GASB PESSOAL E ENCARGOS'!C5</f>
        <v>276612.9728385744</v>
      </c>
      <c r="F15" s="302">
        <f>'[1]GASB PESSOAL E ENCARGOS'!D5</f>
        <v>280489.38313857437</v>
      </c>
      <c r="G15" s="302">
        <f>'[1]GASB PESSOAL E ENCARGOS'!E5</f>
        <v>276612.9728385744</v>
      </c>
      <c r="H15" s="302">
        <f>'[1]GASB PESSOAL E ENCARGOS'!F5</f>
        <v>276612.9728385744</v>
      </c>
      <c r="I15" s="302">
        <f>'[1]GASB PESSOAL E ENCARGOS'!G5</f>
        <v>276612.9728385744</v>
      </c>
      <c r="J15" s="302">
        <f>'[1]GASB PESSOAL E ENCARGOS'!H5</f>
        <v>276612.9728385744</v>
      </c>
      <c r="K15" s="302">
        <f>'[1]GASB PESSOAL E ENCARGOS'!I5</f>
        <v>276612.9728385744</v>
      </c>
      <c r="L15" s="302">
        <f>'[1]GASB PESSOAL E ENCARGOS'!J5</f>
        <v>276612.9728385744</v>
      </c>
      <c r="M15" s="302">
        <f>'[1]GASB PESSOAL E ENCARGOS'!K5</f>
        <v>283972.7795857484</v>
      </c>
      <c r="N15" s="302">
        <f>'[1]GASB PESSOAL E ENCARGOS'!L5</f>
        <v>284303.1069537484</v>
      </c>
      <c r="O15" s="302">
        <f>'[1]GASB PESSOAL E ENCARGOS'!M5</f>
        <v>284303.1069537484</v>
      </c>
      <c r="P15" s="302">
        <f>'[1]GASB PESSOAL E ENCARGOS'!N5</f>
        <v>284303.1069537484</v>
      </c>
    </row>
    <row r="16" spans="1:16" ht="33" customHeight="1" thickBot="1" thickTop="1">
      <c r="A16" s="128" t="s">
        <v>185</v>
      </c>
      <c r="B16" s="129">
        <f>852791+1595210</f>
        <v>2448001</v>
      </c>
      <c r="C16" s="129">
        <v>2973066.92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</row>
    <row r="17" spans="1:16" ht="33" customHeight="1" thickBot="1" thickTop="1">
      <c r="A17" s="128" t="s">
        <v>186</v>
      </c>
      <c r="B17" s="129"/>
      <c r="C17" s="129"/>
      <c r="D17" s="130">
        <v>50000</v>
      </c>
      <c r="E17" s="130"/>
      <c r="F17" s="130"/>
      <c r="G17" s="130"/>
      <c r="H17" s="130"/>
      <c r="I17" s="130"/>
      <c r="J17" s="130">
        <v>50000</v>
      </c>
      <c r="K17" s="130"/>
      <c r="L17" s="130"/>
      <c r="M17" s="130"/>
      <c r="N17" s="130"/>
      <c r="O17" s="130"/>
      <c r="P17" s="130"/>
    </row>
    <row r="18" spans="1:16" ht="33" customHeight="1" thickBot="1" thickTop="1">
      <c r="A18" s="128" t="s">
        <v>187</v>
      </c>
      <c r="B18" s="129"/>
      <c r="C18" s="129"/>
      <c r="D18" s="130">
        <v>20000</v>
      </c>
      <c r="E18" s="130"/>
      <c r="F18" s="130">
        <v>20000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33" customHeight="1" thickBot="1" thickTop="1">
      <c r="A19" s="128" t="s">
        <v>188</v>
      </c>
      <c r="B19" s="129"/>
      <c r="C19" s="129"/>
      <c r="D19" s="132">
        <v>100000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100000</v>
      </c>
    </row>
    <row r="20" spans="1:16" ht="33" customHeight="1" thickBot="1" thickTop="1">
      <c r="A20" s="128" t="s">
        <v>197</v>
      </c>
      <c r="B20" s="129">
        <f>106790+824622</f>
        <v>931412</v>
      </c>
      <c r="C20" s="129">
        <v>1096714.32</v>
      </c>
      <c r="D20" s="130">
        <f>'[1]PESSOAL ROGÉRIO'!AD192</f>
        <v>1223000.580664106</v>
      </c>
      <c r="E20" s="130">
        <f>'[1]RESTAURANTE PESSOAL E ENCARGOS'!C5</f>
        <v>101006.27894003107</v>
      </c>
      <c r="F20" s="130">
        <f>'[1]RESTAURANTE PESSOAL E ENCARGOS'!D5</f>
        <v>101006.27894003107</v>
      </c>
      <c r="G20" s="130">
        <f>'[1]RESTAURANTE PESSOAL E ENCARGOS'!E5</f>
        <v>101006.27894003107</v>
      </c>
      <c r="H20" s="130">
        <f>'[1]RESTAURANTE PESSOAL E ENCARGOS'!F5</f>
        <v>101006.27894003107</v>
      </c>
      <c r="I20" s="130">
        <f>'[1]RESTAURANTE PESSOAL E ENCARGOS'!G5</f>
        <v>101006.27894003107</v>
      </c>
      <c r="J20" s="130">
        <f>'[1]RESTAURANTE PESSOAL E ENCARGOS'!H5</f>
        <v>101006.27894003107</v>
      </c>
      <c r="K20" s="130">
        <f>'[1]RESTAURANTE PESSOAL E ENCARGOS'!I5</f>
        <v>101006.27894003107</v>
      </c>
      <c r="L20" s="130">
        <f>'[1]RESTAURANTE PESSOAL E ENCARGOS'!J5</f>
        <v>101006.27894003107</v>
      </c>
      <c r="M20" s="130">
        <f>'[1]RESTAURANTE PESSOAL E ENCARGOS'!K5</f>
        <v>103732.7144399643</v>
      </c>
      <c r="N20" s="130">
        <f>'[1]RESTAURANTE PESSOAL E ENCARGOS'!L5</f>
        <v>103739.21156796429</v>
      </c>
      <c r="O20" s="130">
        <f>'[1]RESTAURANTE PESSOAL E ENCARGOS'!M5</f>
        <v>103739.21156796429</v>
      </c>
      <c r="P20" s="130">
        <f>'[1]RESTAURANTE PESSOAL E ENCARGOS'!N5</f>
        <v>103739.21156796429</v>
      </c>
    </row>
    <row r="21" spans="1:16" ht="33" customHeight="1" thickBot="1" thickTop="1">
      <c r="A21" s="128" t="s">
        <v>38</v>
      </c>
      <c r="B21" s="129">
        <f>543189+2152709</f>
        <v>2695898</v>
      </c>
      <c r="C21" s="129">
        <v>3848528.51</v>
      </c>
      <c r="D21" s="130">
        <f>'[1]PESSOAL ROGÉRIO'!AD172</f>
        <v>4419376.342727917</v>
      </c>
      <c r="E21" s="130">
        <f>'[1]PBU PESSOAL E ENCARGOS'!C5</f>
        <v>365420.15101274586</v>
      </c>
      <c r="F21" s="130">
        <f>'[1]PBU PESSOAL E ENCARGOS'!D5</f>
        <v>365420.15101274586</v>
      </c>
      <c r="G21" s="130">
        <f>'[1]PBU PESSOAL E ENCARGOS'!E5</f>
        <v>365420.15101274586</v>
      </c>
      <c r="H21" s="130">
        <f>'[1]PBU PESSOAL E ENCARGOS'!F5</f>
        <v>365420.15101274586</v>
      </c>
      <c r="I21" s="130">
        <f>'[1]PBU PESSOAL E ENCARGOS'!G5</f>
        <v>365420.15101274586</v>
      </c>
      <c r="J21" s="130">
        <f>'[1]PBU PESSOAL E ENCARGOS'!H5</f>
        <v>365420.15101274586</v>
      </c>
      <c r="K21" s="130">
        <f>'[1]PBU PESSOAL E ENCARGOS'!I5</f>
        <v>365420.15101274586</v>
      </c>
      <c r="L21" s="130">
        <f>'[1]PBU PESSOAL E ENCARGOS'!J5</f>
        <v>365420.15101274586</v>
      </c>
      <c r="M21" s="130">
        <f>'[1]PBU PESSOAL E ENCARGOS'!K5</f>
        <v>373932.3071684875</v>
      </c>
      <c r="N21" s="130">
        <f>'[1]PBU PESSOAL E ENCARGOS'!L5</f>
        <v>374027.6091524875</v>
      </c>
      <c r="O21" s="130">
        <f>'[1]PBU PESSOAL E ENCARGOS'!M5</f>
        <v>374027.6091524875</v>
      </c>
      <c r="P21" s="130">
        <f>'[1]PBU PESSOAL E ENCARGOS'!N5</f>
        <v>374027.6091524875</v>
      </c>
    </row>
    <row r="22" spans="1:16" ht="33" customHeight="1" thickBot="1" thickTop="1">
      <c r="A22" s="128" t="s">
        <v>195</v>
      </c>
      <c r="B22" s="129">
        <f>12298551+6994</f>
        <v>12305545</v>
      </c>
      <c r="C22" s="129">
        <v>19659978.88</v>
      </c>
      <c r="D22" s="130">
        <f>'[1]PESSOAL ROGÉRIO'!AD255</f>
        <v>18539378.18676946</v>
      </c>
      <c r="E22" s="130">
        <f>'[1]SEDE PESSOAL E ENCARGOS '!C5</f>
        <v>1531268.0433557783</v>
      </c>
      <c r="F22" s="130">
        <f>'[1]SEDE PESSOAL E ENCARGOS '!D5</f>
        <v>1548979.0510557785</v>
      </c>
      <c r="G22" s="130">
        <f>'[1]SEDE PESSOAL E ENCARGOS '!E5</f>
        <v>1532488.4970557785</v>
      </c>
      <c r="H22" s="130">
        <f>'[1]SEDE PESSOAL E ENCARGOS '!F5</f>
        <v>1529979.0510557785</v>
      </c>
      <c r="I22" s="130">
        <f>'[1]SEDE PESSOAL E ENCARGOS '!G5</f>
        <v>1529979.0510557785</v>
      </c>
      <c r="J22" s="130">
        <f>'[1]SEDE PESSOAL E ENCARGOS '!H5</f>
        <v>1549957.8812557785</v>
      </c>
      <c r="K22" s="130">
        <f>'[1]SEDE PESSOAL E ENCARGOS '!I5</f>
        <v>1532912.0840290263</v>
      </c>
      <c r="L22" s="130">
        <f>'[1]SEDE PESSOAL E ENCARGOS '!J5</f>
        <v>1530054.4910290262</v>
      </c>
      <c r="M22" s="130">
        <f>'[1]SEDE PESSOAL E ENCARGOS '!K5</f>
        <v>1563153.4227291835</v>
      </c>
      <c r="N22" s="130">
        <f>'[1]SEDE PESSOAL E ENCARGOS '!L5</f>
        <v>1563535.5380491833</v>
      </c>
      <c r="O22" s="130">
        <f>'[1]SEDE PESSOAL E ENCARGOS '!M5</f>
        <v>1563535.5380491833</v>
      </c>
      <c r="P22" s="130">
        <f>'[1]SEDE PESSOAL E ENCARGOS '!N5</f>
        <v>1563535.5380491833</v>
      </c>
    </row>
    <row r="23" ht="15.75" thickTop="1"/>
  </sheetData>
  <sheetProtection/>
  <mergeCells count="30">
    <mergeCell ref="B1: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D15:D16"/>
    <mergeCell ref="E15:E16"/>
    <mergeCell ref="F15:F16"/>
    <mergeCell ref="G15:G16"/>
    <mergeCell ref="H15:H16"/>
    <mergeCell ref="O15:O16"/>
    <mergeCell ref="P15:P16"/>
    <mergeCell ref="I15:I16"/>
    <mergeCell ref="J15:J16"/>
    <mergeCell ref="K15:K16"/>
    <mergeCell ref="L15:L16"/>
    <mergeCell ref="M15:M16"/>
    <mergeCell ref="N15:N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Barsanulfo</dc:creator>
  <cp:keywords/>
  <dc:description/>
  <cp:lastModifiedBy>Murilo Lopes Figueiredo</cp:lastModifiedBy>
  <cp:lastPrinted>2019-07-23T17:37:48Z</cp:lastPrinted>
  <dcterms:created xsi:type="dcterms:W3CDTF">2015-02-25T13:03:36Z</dcterms:created>
  <dcterms:modified xsi:type="dcterms:W3CDTF">2020-10-20T13:12:52Z</dcterms:modified>
  <cp:category/>
  <cp:version/>
  <cp:contentType/>
  <cp:contentStatus/>
</cp:coreProperties>
</file>