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692" activeTab="0"/>
  </bookViews>
  <sheets>
    <sheet name="ANEXO III 16º TA" sheetId="1" r:id="rId1"/>
    <sheet name="Plan2" sheetId="2" state="hidden" r:id="rId2"/>
    <sheet name="Planilha1" sheetId="3" state="hidden" r:id="rId3"/>
    <sheet name="Planilha2" sheetId="4" state="hidden" r:id="rId4"/>
  </sheets>
  <externalReferences>
    <externalReference r:id="rId7"/>
  </externalReferences>
  <definedNames>
    <definedName name="_xlfn._FV" hidden="1">#NAME?</definedName>
    <definedName name="_xlnm_Print_Area_1">#REF!</definedName>
    <definedName name="_xlnm.Print_Area" localSheetId="0">'ANEXO III 16º TA'!$A$1:$K$292</definedName>
  </definedNames>
  <calcPr fullCalcOnLoad="1"/>
</workbook>
</file>

<file path=xl/sharedStrings.xml><?xml version="1.0" encoding="utf-8"?>
<sst xmlns="http://schemas.openxmlformats.org/spreadsheetml/2006/main" count="762" uniqueCount="167">
  <si>
    <t>ESPECIFICAÇÃO</t>
  </si>
  <si>
    <t>CGSF</t>
  </si>
  <si>
    <t>CCIVV</t>
  </si>
  <si>
    <t>CCICM</t>
  </si>
  <si>
    <t>CCINF</t>
  </si>
  <si>
    <t>CCANM</t>
  </si>
  <si>
    <t>CSDGB</t>
  </si>
  <si>
    <t>PROTEÇÃO SOCIAL AO IDOSO</t>
  </si>
  <si>
    <t>PROTEÇÃO SOCIAL AO ADOLESCENTE E JOVEM</t>
  </si>
  <si>
    <t>SHOW DE NATAL</t>
  </si>
  <si>
    <t>PROTEÇÃO SOCIAL ÀS FAMÍLIA</t>
  </si>
  <si>
    <t>CIGO</t>
  </si>
  <si>
    <t>ATENÇÃO SOCIAL ÀS FAMÍLIAS EM SITUAÇÃO DE VULNERABILIDADE SOCIAL</t>
  </si>
  <si>
    <t>RESTAURANTE CIDADÃO</t>
  </si>
  <si>
    <t>Número de acolhimentos na Casa do Interior</t>
  </si>
  <si>
    <t>Número de romeiros apoiados no Centro de Apoio ao Romeiro na Romaria de Trindade</t>
  </si>
  <si>
    <t>Número de romeiros apoiados no Centro de Apoio ao Romeiro na Romaria de Muquém</t>
  </si>
  <si>
    <t>Número de visitantes na Aldeia do Papai Noel</t>
  </si>
  <si>
    <t>SEGURANÇA ALIMENTAR</t>
  </si>
  <si>
    <t>CENTRO DE APOIO AOS ROMEIROS</t>
  </si>
  <si>
    <t>CAMPANHAS, EVENTOS DE PROTEÇÃO E
 INCLUSÃO SOCIAL</t>
  </si>
  <si>
    <t>BOLSA UNIVERSITÁRIA</t>
  </si>
  <si>
    <t>APOIO A ESTUDANTES</t>
  </si>
  <si>
    <t>PREVISÃO DE DESPESAS</t>
  </si>
  <si>
    <t>JULHO</t>
  </si>
  <si>
    <t>AGOSTO</t>
  </si>
  <si>
    <t>SETEMBRO</t>
  </si>
  <si>
    <t>PESSOAL E ENCARGOS</t>
  </si>
  <si>
    <t>DESPESAS CORRENTES</t>
  </si>
  <si>
    <t>DESPESAS FINANCEIRAS</t>
  </si>
  <si>
    <t>INVESTIMENTOS</t>
  </si>
  <si>
    <t>TOTAL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</si>
  <si>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</si>
  <si>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</si>
  <si>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</si>
  <si>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</si>
  <si>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</si>
  <si>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</si>
  <si>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</si>
  <si>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</si>
  <si>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</si>
  <si>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Valor Total de Gasto dos Restaurante</t>
  </si>
  <si>
    <t>Apoio Administrativo</t>
  </si>
  <si>
    <t>SEDE</t>
  </si>
  <si>
    <t>BANCO DE ALIMENTOS</t>
  </si>
  <si>
    <t>SANTO ANTÔNIO RESTAURANTE</t>
  </si>
  <si>
    <t>Número de crianças beneficiadas com brinquedo.</t>
  </si>
  <si>
    <t>REDE DE VOLUNTARIADO, INVESTIMENTO E PARCERIAS SOCIAIS</t>
  </si>
  <si>
    <t>PROGRAMA BOLSA UNIVERSITÁRIA</t>
  </si>
  <si>
    <t>CASA DO INTERIOR DE GOIÁS</t>
  </si>
  <si>
    <t>Total de Despesas Bolsas Universitária 2019/2</t>
  </si>
  <si>
    <t>Despesas Bolsa Universitária Integral (2019/2)</t>
  </si>
  <si>
    <t>Despesas Bolsa Universitária Parcial (2019/2)</t>
  </si>
  <si>
    <t>Total de Despesas Bolsas Universitária 2020/1</t>
  </si>
  <si>
    <t>Despesas Bolsa Universitária Integral (2020/1)</t>
  </si>
  <si>
    <t>Despesas Bolsa Universitária Parcial (2020/1)</t>
  </si>
  <si>
    <t>GERÊNCIA DE VOLUNTARIADO
E PARCERIAS SOCIAIS</t>
  </si>
  <si>
    <t>Valor total das refeições servidas nas 12 (doze) unidades do Restaurante Cidadão (em funcionamento) PROTEGE</t>
  </si>
  <si>
    <t>Valor total das refeições servidas nas 02 (duas) unidades do Restaurante Cidadão (a implantar) PROTEGE</t>
  </si>
  <si>
    <t>Despesas Operacionais - PROTEGE</t>
  </si>
  <si>
    <t>Despesas Operacionais - TESOURO</t>
  </si>
  <si>
    <t>Despesas com Aluguel - PROTEGE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</si>
  <si>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</si>
  <si>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</si>
  <si>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</si>
  <si>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</si>
  <si>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</si>
  <si>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</si>
  <si>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</si>
  <si>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</si>
  <si>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</si>
  <si>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</si>
  <si>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</si>
  <si>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</si>
  <si>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OVG</t>
  </si>
  <si>
    <t>VALOR GASTO 2018</t>
  </si>
  <si>
    <t>Valor 13 TA</t>
  </si>
  <si>
    <t xml:space="preserve">Valor anual 14 TA (COM ÀGUA E LUZ) </t>
  </si>
  <si>
    <t xml:space="preserve">Valor anual 14 TA (SEM ÀGUA E LUZ) </t>
  </si>
  <si>
    <t>TOTAL DO Contrato</t>
  </si>
  <si>
    <t>TOTAL DE DESPESAS - PESSOAL E ENCARGOS</t>
  </si>
  <si>
    <t>TOTAL DE DESPESAS - MANUTENÇÃO</t>
  </si>
  <si>
    <t>TOTAL DE DESPESAS - PROGRAMA BOLSA</t>
  </si>
  <si>
    <t>TOTAL DE DESPESAS - PROGRAMA RESTAURANTE</t>
  </si>
  <si>
    <t xml:space="preserve"> COMPLEXO GERONTOLÓGICO SAGRADA FAMÍLIA - CGSF</t>
  </si>
  <si>
    <t xml:space="preserve">CENTRO DE CONVIVÊNCIA DE IDOSOS VILA VIDA - CCIVV </t>
  </si>
  <si>
    <t xml:space="preserve"> CENTRO DE CONVIVÊNCIA DE IDOSOS CÂNDIDA DE MORAIS - CCICM </t>
  </si>
  <si>
    <t xml:space="preserve">CENTRO DE CONVIVÊNCIA DE IDOSOS NORTE FERROVIÁRIO - CCINF </t>
  </si>
  <si>
    <t>CENTRO DE CONVIVÊNCIA DE ADOLESCENTES NOVO MUNDO - CCANM</t>
  </si>
  <si>
    <t>CENTRO SOCIAL DONA GERCINA BORGES</t>
  </si>
  <si>
    <t>CENTRO GOIANO DE VOLUNTÁRIOS - CGV</t>
  </si>
  <si>
    <t>GERÊNCIA DE ASSESSORAMENTO E BENEFICÍO - SERVIÇOS</t>
  </si>
  <si>
    <t>NATAL OVG</t>
  </si>
  <si>
    <t>DESPESAS MUQUEM</t>
  </si>
  <si>
    <t>DESPESAS TRINDADE</t>
  </si>
  <si>
    <t>RESTAURANTE CIDADÃO (DESPESAS OPERACIONAIS)</t>
  </si>
  <si>
    <t>RESTAURANTE CIDADÃO (DESPESAS COM REFEIÇÕES)</t>
  </si>
  <si>
    <t>RESTAURANTE CIDADÃO (DESPESAS COM ALUGUEL)</t>
  </si>
  <si>
    <t>RESTAURANTE CIDADÃO (DESPESAS COM TESOURO)</t>
  </si>
  <si>
    <t>BOLSA UNIVERSITÁRIA (DESPESAS Operacionais)</t>
  </si>
  <si>
    <t>DESPESAS COM BOLSA ESTUDANTIL</t>
  </si>
  <si>
    <t>SEDE - DESPESAS DE APOIO ADMINISTRATIVO</t>
  </si>
  <si>
    <t xml:space="preserve">Valor anual 14 TA </t>
  </si>
  <si>
    <t xml:space="preserve">RESTAURANTE CIDADÃO </t>
  </si>
  <si>
    <t>INTEGRAÇÃO AO MUNDO DO TRABALHO</t>
  </si>
  <si>
    <t>PROTEÇÃO SOCIAL AO ADOLESCENTE E JOVEM e INTEGRAÇÃO AO MUNDO DO TRABALHO</t>
  </si>
  <si>
    <t>JULHO / 2020</t>
  </si>
  <si>
    <t>AGOSTO / 2020</t>
  </si>
  <si>
    <t>SETEMBRO / 2020</t>
  </si>
  <si>
    <t>OUTUBRO / 2020</t>
  </si>
  <si>
    <t>NOVEMBRO / 2020</t>
  </si>
  <si>
    <t>DEZEMBRO / 2020</t>
  </si>
  <si>
    <t>JANEIRO / 2021</t>
  </si>
  <si>
    <t>FEVEREIRO / 2021</t>
  </si>
  <si>
    <t>MARÇO / 2021</t>
  </si>
  <si>
    <t>ABRIL / 2021</t>
  </si>
  <si>
    <t>MAIO / 2021</t>
  </si>
  <si>
    <t>JUNHO / 2021</t>
  </si>
  <si>
    <t>CISF</t>
  </si>
  <si>
    <t>CIVV</t>
  </si>
  <si>
    <t>CATF</t>
  </si>
  <si>
    <t>PROTEÇÃO SOCIAL ÀS FAMÍLIAS E INDIVÍDUOS 
EM SITUAÇÃO DE VULNERABILIDADE SOCIAL</t>
  </si>
  <si>
    <t>PROTEÇÃO SOCIAL ÀS FAMÍLIAS E INDIVÍDUOS EM SITUAÇÃO DE VULNERABILIDADE SOCIAL</t>
  </si>
  <si>
    <t>GERÊNCIA DE VOLUNTARIADO E PARCERIAS SOCIAIS (GVPS)</t>
  </si>
  <si>
    <t>CASA DO INTERIOR DE GOIÁS (CIGO)</t>
  </si>
  <si>
    <t>PROGRAMA BOLSA UNIVERSITÁRIA (PBU)</t>
  </si>
  <si>
    <t>EBV I</t>
  </si>
  <si>
    <t>EBV II</t>
  </si>
  <si>
    <t>Número de moradores na ILPI.</t>
  </si>
  <si>
    <t>Número de moradores das Casas Lares.</t>
  </si>
  <si>
    <t>Número de idosos atendidos no Centro Dia.</t>
  </si>
  <si>
    <t>Número de idosos atendidos no Centro de Convivência.</t>
  </si>
  <si>
    <t>Número de adolescentes atendidos no Centro de Convivência e Integração ao Mundo do Trabalho.</t>
  </si>
  <si>
    <t>Número de adolescentes e jovens atendidas no Programa Meninas de Luz.</t>
  </si>
  <si>
    <t>Número de gestantes atendidas.</t>
  </si>
  <si>
    <t>Número de cidadãos atendidos (pessoas com deficiência, idosos, vítimas de queimaduras e outros).</t>
  </si>
  <si>
    <t>Número de crianças atendidas.</t>
  </si>
  <si>
    <t>Número de famílias em situação de vulnerabilidade e risco social atendidas.</t>
  </si>
  <si>
    <t>Número de pessoas capacitadas.</t>
  </si>
  <si>
    <t>Número de entidades sociais assessoradas / capacitadas.</t>
  </si>
  <si>
    <t>Número de entidades sociais apoiadas.</t>
  </si>
  <si>
    <t>Número de visitantes na Vila do Papai Noel.</t>
  </si>
  <si>
    <t>Número de pessoas acolhidas.</t>
  </si>
  <si>
    <t>Despesas Operacionais.</t>
  </si>
  <si>
    <t>Total de Despesas Bolsas Universitária 2020/2.</t>
  </si>
  <si>
    <t>Despesas Bolsa Universitária Integral (2020/2).</t>
  </si>
  <si>
    <t>Despesas Bolsa Universitária Parcial (2020/2).</t>
  </si>
  <si>
    <t>Total de Despesas Bolsas Universitária 2021/1.</t>
  </si>
  <si>
    <t>Despesas Bolsa Universitária Integral (2021/1).</t>
  </si>
  <si>
    <t>Despesas Bolsa Universitária Parcial (2021/1).</t>
  </si>
  <si>
    <t>Apoio Administrativo.</t>
  </si>
  <si>
    <t>GERÊNCIA DE VOLUNTARIADO 
E PARCERIAS SOCIAIS (GVPS)</t>
  </si>
  <si>
    <t>Provisão Rescisões.</t>
  </si>
  <si>
    <t>PROTEÇÃO SOCIAL ÀS FAMÍLIAS
E INDIVÍDUOS EM SITUAÇÃO
DE VULNERABILIDADE SOCIAL</t>
  </si>
  <si>
    <t>PROGRAMA RESTAURANTE
DO BEM (RB)</t>
  </si>
  <si>
    <t>NATAL
DO BEM</t>
  </si>
  <si>
    <t>Número de municípios atendidos.</t>
  </si>
  <si>
    <t>DESPESAS CORRENTES
PROTEGE</t>
  </si>
  <si>
    <t>Número de romeiros apoiados no Centro de Apoio ao Romeiro - Romaria de Trindade.</t>
  </si>
  <si>
    <t>Número de romeiros apoiados no Centro de Apoio ao Romeiro - Romaria de Muquém.</t>
  </si>
  <si>
    <t>GERÊNCIA DE GESTÃO SOCIAL E AVALIAÇÃO (GGSA)</t>
  </si>
  <si>
    <t>CENTRO DE APOIO
AO ROMEIRO (CAR)</t>
  </si>
  <si>
    <t>PROTEÇÃO SOCIAL ÀS FAMÍLIAS E INDIVÍDUOS
EM SITUAÇÃO DE VULNERABILIDADE SOCIAL</t>
  </si>
  <si>
    <t>DESPESAS CORRENTES
TESOURO</t>
  </si>
  <si>
    <t>Despesas com Aluguel.</t>
  </si>
  <si>
    <t>Valor total das refeições servidas nas 13 (treze) unidades do Restaurante do Bem.</t>
  </si>
  <si>
    <t>ORÇAMENTO MENSAL PREVISTO NA PROPOSTA DE TRABALHO DO 16º TERMO ADITIVO
PERÍODO: JULHO DE 2020 a JUNHO 2021
ANEXO III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</si>
</sst>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;[Red]#,##0"/>
    <numFmt numFmtId="171" formatCode="_-&quot;R$ &quot;* #,##0.00_-;&quot;-R$ &quot;* #,##0.00_-;_-&quot;R$ &quot;* \-??_-;_-@_-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&quot;R$&quot;\ #,##0.00"/>
    <numFmt numFmtId="180" formatCode="0.0"/>
    <numFmt numFmtId="181" formatCode="#,##0.00000"/>
    <numFmt numFmtId="182" formatCode="[$-416]dddd\,\ d&quot; de &quot;mmmm&quot; de &quot;yyyy"/>
    <numFmt numFmtId="183" formatCode="&quot;Ativar&quot;;&quot;Ativar&quot;;&quot;Desativar&quot;"/>
    <numFmt numFmtId="184" formatCode="_-&quot;R$&quot;\ * #,##0.0000_-;\-&quot;R$&quot;\ * #,##0.0000_-;_-&quot;R$&quot;\ * &quot;-&quot;??_-;_-@_-"/>
    <numFmt numFmtId="185" formatCode="_-&quot;R$&quot;\ * #,##0.00000_-;\-&quot;R$&quot;\ * #,##0.00000_-;_-&quot;R$&quot;\ * &quot;-&quot;??_-;_-@_-"/>
    <numFmt numFmtId="186" formatCode="_-* #,##0_-;\-* #,##0_-;_-* &quot;-&quot;??_-;_-@_-"/>
    <numFmt numFmtId="187" formatCode="#,##0_ ;\-#,##0\ "/>
    <numFmt numFmtId="188" formatCode="_-&quot;R$&quot;\ * #,##0.000_-;\-&quot;R$&quot;\ * #,##0.000_-;_-&quot;R$&quot;\ * &quot;-&quot;??_-;_-@_-"/>
    <numFmt numFmtId="189" formatCode="&quot;R$&quot;#,##0.00"/>
  </numFmts>
  <fonts count="8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 val="singleAccounting"/>
      <sz val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7.5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Accounting"/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Arial"/>
      <family val="2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slantDashDot"/>
      <right style="slantDashDot"/>
      <top style="slantDashDot"/>
      <bottom style="slantDashDot"/>
    </border>
    <border>
      <left style="double"/>
      <right style="double"/>
      <top/>
      <bottom style="double"/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>
        <color indexed="63"/>
      </bottom>
    </border>
    <border>
      <left style="double">
        <color theme="6" tint="-0.24993999302387238"/>
      </left>
      <right style="double">
        <color theme="6" tint="-0.24993999302387238"/>
      </right>
      <top>
        <color indexed="63"/>
      </top>
      <bottom>
        <color indexed="63"/>
      </bottom>
    </border>
    <border>
      <left style="double">
        <color theme="6" tint="-0.24993999302387238"/>
      </left>
      <right style="double">
        <color theme="6" tint="-0.24993999302387238"/>
      </right>
      <top>
        <color indexed="63"/>
      </top>
      <bottom style="double">
        <color theme="6" tint="-0.24993999302387238"/>
      </bottom>
    </border>
    <border>
      <left style="double">
        <color theme="6" tint="-0.24993999302387238"/>
      </left>
      <right>
        <color indexed="63"/>
      </right>
      <top style="double">
        <color theme="6" tint="-0.24993999302387238"/>
      </top>
      <bottom style="double">
        <color theme="6" tint="-0.24993999302387238"/>
      </bottom>
    </border>
    <border>
      <left>
        <color indexed="63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6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61" fillId="0" borderId="0">
      <alignment/>
      <protection/>
    </xf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9" fontId="52" fillId="0" borderId="0" applyFont="0" applyFill="0" applyBorder="0" applyAlignment="0" applyProtection="0"/>
    <xf numFmtId="0" fontId="63" fillId="32" borderId="0" applyNumberFormat="0" applyBorder="0" applyAlignment="0" applyProtection="0"/>
    <xf numFmtId="0" fontId="64" fillId="21" borderId="5" applyNumberFormat="0" applyAlignment="0" applyProtection="0"/>
    <xf numFmtId="41" fontId="1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71" fillId="0" borderId="9" applyNumberFormat="0" applyFill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52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 horizontal="justify" vertical="center" wrapText="1"/>
    </xf>
    <xf numFmtId="0" fontId="7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vertical="center" wrapText="1"/>
    </xf>
    <xf numFmtId="0" fontId="8" fillId="34" borderId="11" xfId="61" applyNumberFormat="1" applyFont="1" applyFill="1" applyBorder="1" applyAlignment="1">
      <alignment horizontal="justify" vertical="center" wrapText="1"/>
      <protection/>
    </xf>
    <xf numFmtId="44" fontId="8" fillId="0" borderId="11" xfId="47" applyFont="1" applyBorder="1" applyAlignment="1">
      <alignment vertical="center"/>
    </xf>
    <xf numFmtId="44" fontId="8" fillId="0" borderId="11" xfId="47" applyFont="1" applyBorder="1" applyAlignment="1">
      <alignment horizontal="center"/>
    </xf>
    <xf numFmtId="0" fontId="9" fillId="0" borderId="0" xfId="0" applyFont="1" applyAlignment="1">
      <alignment/>
    </xf>
    <xf numFmtId="0" fontId="8" fillId="34" borderId="12" xfId="61" applyNumberFormat="1" applyFont="1" applyFill="1" applyBorder="1" applyAlignment="1">
      <alignment horizontal="justify" vertical="center" wrapText="1"/>
      <protection/>
    </xf>
    <xf numFmtId="44" fontId="8" fillId="0" borderId="12" xfId="47" applyFont="1" applyBorder="1" applyAlignment="1">
      <alignment vertical="center"/>
    </xf>
    <xf numFmtId="0" fontId="8" fillId="35" borderId="12" xfId="61" applyNumberFormat="1" applyFont="1" applyFill="1" applyBorder="1" applyAlignment="1">
      <alignment horizontal="justify" vertical="center" wrapText="1"/>
      <protection/>
    </xf>
    <xf numFmtId="0" fontId="8" fillId="0" borderId="12" xfId="61" applyNumberFormat="1" applyFont="1" applyFill="1" applyBorder="1" applyAlignment="1">
      <alignment horizontal="justify" vertical="center" wrapText="1"/>
      <protection/>
    </xf>
    <xf numFmtId="44" fontId="8" fillId="0" borderId="12" xfId="47" applyFont="1" applyBorder="1" applyAlignment="1">
      <alignment/>
    </xf>
    <xf numFmtId="0" fontId="8" fillId="35" borderId="13" xfId="61" applyNumberFormat="1" applyFont="1" applyFill="1" applyBorder="1" applyAlignment="1">
      <alignment horizontal="justify" vertical="center" wrapText="1"/>
      <protection/>
    </xf>
    <xf numFmtId="44" fontId="8" fillId="0" borderId="13" xfId="47" applyFont="1" applyBorder="1" applyAlignment="1">
      <alignment vertical="center"/>
    </xf>
    <xf numFmtId="44" fontId="8" fillId="0" borderId="13" xfId="47" applyFont="1" applyBorder="1" applyAlignment="1">
      <alignment/>
    </xf>
    <xf numFmtId="0" fontId="8" fillId="34" borderId="11" xfId="0" applyNumberFormat="1" applyFont="1" applyFill="1" applyBorder="1" applyAlignment="1">
      <alignment horizontal="justify" vertical="center" wrapText="1"/>
    </xf>
    <xf numFmtId="44" fontId="8" fillId="0" borderId="11" xfId="47" applyFont="1" applyBorder="1" applyAlignment="1">
      <alignment/>
    </xf>
    <xf numFmtId="0" fontId="72" fillId="0" borderId="11" xfId="61" applyNumberFormat="1" applyFont="1" applyFill="1" applyBorder="1" applyAlignment="1">
      <alignment horizontal="justify" vertical="center" wrapText="1"/>
      <protection/>
    </xf>
    <xf numFmtId="44" fontId="8" fillId="0" borderId="14" xfId="47" applyFont="1" applyBorder="1" applyAlignment="1">
      <alignment vertical="center"/>
    </xf>
    <xf numFmtId="44" fontId="8" fillId="0" borderId="15" xfId="47" applyFont="1" applyBorder="1" applyAlignment="1">
      <alignment vertical="center"/>
    </xf>
    <xf numFmtId="0" fontId="8" fillId="34" borderId="16" xfId="61" applyNumberFormat="1" applyFont="1" applyFill="1" applyBorder="1" applyAlignment="1">
      <alignment horizontal="justify" vertical="center" wrapText="1"/>
      <protection/>
    </xf>
    <xf numFmtId="44" fontId="8" fillId="0" borderId="16" xfId="47" applyFont="1" applyBorder="1" applyAlignment="1">
      <alignment vertical="center"/>
    </xf>
    <xf numFmtId="44" fontId="8" fillId="0" borderId="16" xfId="47" applyFont="1" applyBorder="1" applyAlignment="1">
      <alignment/>
    </xf>
    <xf numFmtId="0" fontId="6" fillId="0" borderId="11" xfId="61" applyNumberFormat="1" applyFont="1" applyFill="1" applyBorder="1" applyAlignment="1">
      <alignment horizontal="justify" vertical="center" wrapText="1"/>
      <protection/>
    </xf>
    <xf numFmtId="0" fontId="6" fillId="0" borderId="12" xfId="61" applyNumberFormat="1" applyFont="1" applyFill="1" applyBorder="1" applyAlignment="1">
      <alignment horizontal="justify" vertical="center" wrapText="1"/>
      <protection/>
    </xf>
    <xf numFmtId="0" fontId="6" fillId="35" borderId="12" xfId="61" applyNumberFormat="1" applyFont="1" applyFill="1" applyBorder="1" applyAlignment="1">
      <alignment horizontal="justify" vertical="center" wrapText="1"/>
      <protection/>
    </xf>
    <xf numFmtId="0" fontId="6" fillId="34" borderId="13" xfId="61" applyNumberFormat="1" applyFont="1" applyFill="1" applyBorder="1" applyAlignment="1">
      <alignment horizontal="justify" vertical="center" wrapText="1"/>
      <protection/>
    </xf>
    <xf numFmtId="0" fontId="6" fillId="34" borderId="17" xfId="61" applyNumberFormat="1" applyFont="1" applyFill="1" applyBorder="1" applyAlignment="1">
      <alignment horizontal="justify" vertical="center" wrapText="1"/>
      <protection/>
    </xf>
    <xf numFmtId="0" fontId="6" fillId="34" borderId="11" xfId="61" applyNumberFormat="1" applyFont="1" applyFill="1" applyBorder="1" applyAlignment="1">
      <alignment horizontal="justify" vertical="center" wrapText="1"/>
      <protection/>
    </xf>
    <xf numFmtId="0" fontId="6" fillId="34" borderId="12" xfId="61" applyNumberFormat="1" applyFont="1" applyFill="1" applyBorder="1" applyAlignment="1">
      <alignment horizontal="justify" vertical="center" wrapText="1"/>
      <protection/>
    </xf>
    <xf numFmtId="44" fontId="8" fillId="0" borderId="15" xfId="47" applyFont="1" applyBorder="1" applyAlignment="1">
      <alignment/>
    </xf>
    <xf numFmtId="44" fontId="8" fillId="0" borderId="14" xfId="47" applyFont="1" applyBorder="1" applyAlignment="1">
      <alignment/>
    </xf>
    <xf numFmtId="0" fontId="6" fillId="35" borderId="15" xfId="61" applyNumberFormat="1" applyFont="1" applyFill="1" applyBorder="1" applyAlignment="1">
      <alignment horizontal="justify" vertical="center" wrapText="1"/>
      <protection/>
    </xf>
    <xf numFmtId="0" fontId="6" fillId="0" borderId="16" xfId="61" applyNumberFormat="1" applyFont="1" applyFill="1" applyBorder="1" applyAlignment="1">
      <alignment horizontal="justify" vertical="center" wrapText="1"/>
      <protection/>
    </xf>
    <xf numFmtId="44" fontId="8" fillId="0" borderId="16" xfId="47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4" fontId="8" fillId="36" borderId="14" xfId="47" applyFont="1" applyFill="1" applyBorder="1" applyAlignment="1">
      <alignment vertical="center"/>
    </xf>
    <xf numFmtId="44" fontId="10" fillId="0" borderId="14" xfId="47" applyFont="1" applyBorder="1" applyAlignment="1">
      <alignment vertical="center"/>
    </xf>
    <xf numFmtId="44" fontId="10" fillId="36" borderId="14" xfId="47" applyFont="1" applyFill="1" applyBorder="1" applyAlignment="1">
      <alignment vertical="center"/>
    </xf>
    <xf numFmtId="44" fontId="8" fillId="36" borderId="16" xfId="47" applyFont="1" applyFill="1" applyBorder="1" applyAlignment="1">
      <alignment vertical="center"/>
    </xf>
    <xf numFmtId="44" fontId="8" fillId="36" borderId="12" xfId="47" applyFont="1" applyFill="1" applyBorder="1" applyAlignment="1">
      <alignment vertical="center"/>
    </xf>
    <xf numFmtId="44" fontId="8" fillId="36" borderId="13" xfId="47" applyFont="1" applyFill="1" applyBorder="1" applyAlignment="1">
      <alignment vertical="center"/>
    </xf>
    <xf numFmtId="44" fontId="8" fillId="36" borderId="11" xfId="47" applyFont="1" applyFill="1" applyBorder="1" applyAlignment="1">
      <alignment vertical="center"/>
    </xf>
    <xf numFmtId="44" fontId="8" fillId="36" borderId="15" xfId="47" applyFont="1" applyFill="1" applyBorder="1" applyAlignment="1">
      <alignment vertical="center"/>
    </xf>
    <xf numFmtId="44" fontId="10" fillId="0" borderId="11" xfId="47" applyFont="1" applyBorder="1" applyAlignment="1">
      <alignment horizontal="center" vertical="center"/>
    </xf>
    <xf numFmtId="44" fontId="10" fillId="36" borderId="11" xfId="47" applyFont="1" applyFill="1" applyBorder="1" applyAlignment="1">
      <alignment horizontal="center" vertical="center"/>
    </xf>
    <xf numFmtId="44" fontId="10" fillId="0" borderId="11" xfId="47" applyFont="1" applyBorder="1" applyAlignment="1">
      <alignment vertical="center"/>
    </xf>
    <xf numFmtId="0" fontId="11" fillId="33" borderId="18" xfId="0" applyNumberFormat="1" applyFont="1" applyFill="1" applyBorder="1" applyAlignment="1">
      <alignment horizontal="center" vertical="center" wrapText="1"/>
    </xf>
    <xf numFmtId="0" fontId="11" fillId="33" borderId="19" xfId="0" applyNumberFormat="1" applyFont="1" applyFill="1" applyBorder="1" applyAlignment="1">
      <alignment horizontal="center" vertical="center" wrapText="1"/>
    </xf>
    <xf numFmtId="0" fontId="11" fillId="33" borderId="2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textRotation="90" wrapText="1"/>
    </xf>
    <xf numFmtId="0" fontId="73" fillId="34" borderId="16" xfId="0" applyFont="1" applyFill="1" applyBorder="1" applyAlignment="1">
      <alignment horizontal="center" vertical="center" textRotation="90" wrapText="1"/>
    </xf>
    <xf numFmtId="0" fontId="12" fillId="34" borderId="16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/>
    </xf>
    <xf numFmtId="44" fontId="8" fillId="36" borderId="11" xfId="47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 textRotation="90" wrapText="1"/>
    </xf>
    <xf numFmtId="0" fontId="73" fillId="34" borderId="13" xfId="0" applyFont="1" applyFill="1" applyBorder="1" applyAlignment="1">
      <alignment horizontal="center" vertical="center" textRotation="90" wrapText="1"/>
    </xf>
    <xf numFmtId="44" fontId="14" fillId="37" borderId="16" xfId="0" applyNumberFormat="1" applyFont="1" applyFill="1" applyBorder="1" applyAlignment="1">
      <alignment/>
    </xf>
    <xf numFmtId="0" fontId="11" fillId="33" borderId="21" xfId="0" applyNumberFormat="1" applyFont="1" applyFill="1" applyBorder="1" applyAlignment="1">
      <alignment horizontal="center" vertical="center" wrapText="1"/>
    </xf>
    <xf numFmtId="0" fontId="11" fillId="33" borderId="22" xfId="0" applyNumberFormat="1" applyFont="1" applyFill="1" applyBorder="1" applyAlignment="1">
      <alignment horizontal="center" vertical="center" wrapText="1"/>
    </xf>
    <xf numFmtId="0" fontId="11" fillId="33" borderId="23" xfId="0" applyNumberFormat="1" applyFont="1" applyFill="1" applyBorder="1" applyAlignment="1">
      <alignment horizontal="center" vertical="center" wrapText="1"/>
    </xf>
    <xf numFmtId="44" fontId="10" fillId="0" borderId="12" xfId="47" applyFont="1" applyBorder="1" applyAlignment="1">
      <alignment vertical="center"/>
    </xf>
    <xf numFmtId="0" fontId="7" fillId="37" borderId="16" xfId="0" applyFont="1" applyFill="1" applyBorder="1" applyAlignment="1">
      <alignment horizontal="center" vertical="center"/>
    </xf>
    <xf numFmtId="4" fontId="7" fillId="37" borderId="10" xfId="0" applyNumberFormat="1" applyFont="1" applyFill="1" applyBorder="1" applyAlignment="1">
      <alignment vertical="center" wrapText="1"/>
    </xf>
    <xf numFmtId="44" fontId="8" fillId="37" borderId="12" xfId="47" applyFont="1" applyFill="1" applyBorder="1" applyAlignment="1">
      <alignment vertical="center"/>
    </xf>
    <xf numFmtId="44" fontId="8" fillId="37" borderId="13" xfId="47" applyFont="1" applyFill="1" applyBorder="1" applyAlignment="1">
      <alignment vertical="center"/>
    </xf>
    <xf numFmtId="44" fontId="8" fillId="37" borderId="11" xfId="47" applyFont="1" applyFill="1" applyBorder="1" applyAlignment="1">
      <alignment vertical="center"/>
    </xf>
    <xf numFmtId="44" fontId="8" fillId="37" borderId="16" xfId="47" applyFont="1" applyFill="1" applyBorder="1" applyAlignment="1">
      <alignment vertical="center"/>
    </xf>
    <xf numFmtId="44" fontId="9" fillId="0" borderId="0" xfId="0" applyNumberFormat="1" applyFont="1" applyAlignment="1">
      <alignment/>
    </xf>
    <xf numFmtId="44" fontId="1" fillId="0" borderId="0" xfId="47" applyAlignment="1">
      <alignment/>
    </xf>
    <xf numFmtId="0" fontId="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textRotation="90"/>
    </xf>
    <xf numFmtId="44" fontId="6" fillId="0" borderId="0" xfId="0" applyNumberFormat="1" applyFont="1" applyAlignment="1">
      <alignment/>
    </xf>
    <xf numFmtId="44" fontId="1" fillId="0" borderId="0" xfId="47" applyAlignment="1">
      <alignment horizontal="center" vertical="center" wrapText="1"/>
    </xf>
    <xf numFmtId="44" fontId="1" fillId="0" borderId="0" xfId="47" applyAlignment="1">
      <alignment horizontal="center" vertical="center" textRotation="90" wrapText="1"/>
    </xf>
    <xf numFmtId="44" fontId="1" fillId="0" borderId="0" xfId="47" applyAlignment="1">
      <alignment horizontal="justify" vertical="center" wrapText="1"/>
    </xf>
    <xf numFmtId="44" fontId="1" fillId="0" borderId="0" xfId="47" applyBorder="1" applyAlignment="1">
      <alignment vertical="center"/>
    </xf>
    <xf numFmtId="44" fontId="74" fillId="0" borderId="0" xfId="47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75" fillId="0" borderId="0" xfId="0" applyFont="1" applyAlignment="1">
      <alignment horizontal="center" vertical="center" wrapText="1"/>
    </xf>
    <xf numFmtId="44" fontId="8" fillId="0" borderId="24" xfId="47" applyFont="1" applyBorder="1" applyAlignment="1">
      <alignment vertical="center"/>
    </xf>
    <xf numFmtId="44" fontId="8" fillId="0" borderId="24" xfId="47" applyFont="1" applyBorder="1" applyAlignment="1">
      <alignment horizontal="center" vertical="center"/>
    </xf>
    <xf numFmtId="44" fontId="8" fillId="36" borderId="24" xfId="47" applyFont="1" applyFill="1" applyBorder="1" applyAlignment="1">
      <alignment horizontal="center" vertical="center"/>
    </xf>
    <xf numFmtId="44" fontId="8" fillId="36" borderId="14" xfId="47" applyFont="1" applyFill="1" applyBorder="1" applyAlignment="1">
      <alignment horizontal="center" vertical="center"/>
    </xf>
    <xf numFmtId="44" fontId="8" fillId="36" borderId="12" xfId="47" applyFont="1" applyFill="1" applyBorder="1" applyAlignment="1">
      <alignment horizontal="center" vertical="center"/>
    </xf>
    <xf numFmtId="0" fontId="73" fillId="34" borderId="11" xfId="0" applyFont="1" applyFill="1" applyBorder="1" applyAlignment="1">
      <alignment horizontal="center" vertical="center" textRotation="90" wrapText="1"/>
    </xf>
    <xf numFmtId="0" fontId="73" fillId="34" borderId="12" xfId="0" applyFont="1" applyFill="1" applyBorder="1" applyAlignment="1">
      <alignment horizontal="center" vertical="center" textRotation="90" wrapText="1"/>
    </xf>
    <xf numFmtId="44" fontId="8" fillId="0" borderId="12" xfId="47" applyFont="1" applyBorder="1" applyAlignment="1">
      <alignment horizontal="center" vertical="center"/>
    </xf>
    <xf numFmtId="44" fontId="8" fillId="0" borderId="12" xfId="47" applyFont="1" applyBorder="1" applyAlignment="1">
      <alignment horizontal="center"/>
    </xf>
    <xf numFmtId="44" fontId="8" fillId="0" borderId="14" xfId="47" applyFont="1" applyBorder="1" applyAlignment="1">
      <alignment horizontal="center"/>
    </xf>
    <xf numFmtId="44" fontId="8" fillId="36" borderId="11" xfId="47" applyFont="1" applyFill="1" applyBorder="1" applyAlignment="1">
      <alignment horizontal="center" vertical="center"/>
    </xf>
    <xf numFmtId="44" fontId="8" fillId="0" borderId="11" xfId="47" applyFont="1" applyBorder="1" applyAlignment="1">
      <alignment horizontal="center" vertical="center"/>
    </xf>
    <xf numFmtId="44" fontId="8" fillId="0" borderId="24" xfId="47" applyFont="1" applyBorder="1" applyAlignment="1">
      <alignment horizontal="center"/>
    </xf>
    <xf numFmtId="44" fontId="8" fillId="37" borderId="12" xfId="47" applyFont="1" applyFill="1" applyBorder="1" applyAlignment="1">
      <alignment vertical="center"/>
    </xf>
    <xf numFmtId="44" fontId="8" fillId="37" borderId="11" xfId="47" applyFont="1" applyFill="1" applyBorder="1" applyAlignment="1">
      <alignment vertical="center"/>
    </xf>
    <xf numFmtId="44" fontId="8" fillId="37" borderId="14" xfId="47" applyFont="1" applyFill="1" applyBorder="1" applyAlignment="1">
      <alignment vertical="center"/>
    </xf>
    <xf numFmtId="44" fontId="8" fillId="36" borderId="24" xfId="47" applyFont="1" applyFill="1" applyBorder="1" applyAlignment="1">
      <alignment horizontal="center" vertical="center"/>
    </xf>
    <xf numFmtId="44" fontId="8" fillId="36" borderId="11" xfId="47" applyFont="1" applyFill="1" applyBorder="1" applyAlignment="1">
      <alignment horizontal="center" vertical="center"/>
    </xf>
    <xf numFmtId="169" fontId="9" fillId="0" borderId="0" xfId="0" applyNumberFormat="1" applyFont="1" applyAlignment="1">
      <alignment/>
    </xf>
    <xf numFmtId="44" fontId="10" fillId="36" borderId="12" xfId="47" applyFont="1" applyFill="1" applyBorder="1" applyAlignment="1">
      <alignment vertical="center"/>
    </xf>
    <xf numFmtId="16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6" fillId="13" borderId="26" xfId="0" applyFont="1" applyFill="1" applyBorder="1" applyAlignment="1">
      <alignment/>
    </xf>
    <xf numFmtId="0" fontId="76" fillId="13" borderId="27" xfId="0" applyFont="1" applyFill="1" applyBorder="1" applyAlignment="1">
      <alignment/>
    </xf>
    <xf numFmtId="0" fontId="20" fillId="38" borderId="28" xfId="61" applyNumberFormat="1" applyFont="1" applyFill="1" applyBorder="1" applyAlignment="1">
      <alignment horizontal="left" vertical="center" wrapText="1"/>
      <protection/>
    </xf>
    <xf numFmtId="169" fontId="20" fillId="9" borderId="28" xfId="61" applyNumberFormat="1" applyFont="1" applyFill="1" applyBorder="1" applyAlignment="1">
      <alignment horizontal="left" vertical="center" wrapText="1"/>
      <protection/>
    </xf>
    <xf numFmtId="44" fontId="76" fillId="38" borderId="28" xfId="0" applyNumberFormat="1" applyFont="1" applyFill="1" applyBorder="1" applyAlignment="1">
      <alignment vertical="center"/>
    </xf>
    <xf numFmtId="0" fontId="20" fillId="3" borderId="29" xfId="61" applyNumberFormat="1" applyFont="1" applyFill="1" applyBorder="1" applyAlignment="1">
      <alignment horizontal="left" vertical="center" wrapText="1"/>
      <protection/>
    </xf>
    <xf numFmtId="44" fontId="20" fillId="7" borderId="29" xfId="54" applyFont="1" applyFill="1" applyBorder="1" applyAlignment="1">
      <alignment horizontal="left" vertical="center" wrapText="1"/>
    </xf>
    <xf numFmtId="44" fontId="20" fillId="3" borderId="29" xfId="54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30" xfId="61" applyNumberFormat="1" applyFont="1" applyFill="1" applyBorder="1" applyAlignment="1">
      <alignment horizontal="left" vertical="center" wrapText="1"/>
      <protection/>
    </xf>
    <xf numFmtId="44" fontId="20" fillId="9" borderId="30" xfId="54" applyFont="1" applyFill="1" applyBorder="1" applyAlignment="1">
      <alignment horizontal="left" vertical="center" wrapText="1"/>
    </xf>
    <xf numFmtId="44" fontId="76" fillId="9" borderId="30" xfId="0" applyNumberFormat="1" applyFont="1" applyFill="1" applyBorder="1" applyAlignment="1">
      <alignment vertical="center"/>
    </xf>
    <xf numFmtId="44" fontId="77" fillId="0" borderId="30" xfId="0" applyNumberFormat="1" applyFont="1" applyFill="1" applyBorder="1" applyAlignment="1">
      <alignment vertical="center"/>
    </xf>
    <xf numFmtId="0" fontId="0" fillId="0" borderId="25" xfId="61" applyNumberFormat="1" applyFont="1" applyFill="1" applyBorder="1" applyAlignment="1">
      <alignment horizontal="left" vertical="center" wrapText="1"/>
      <protection/>
    </xf>
    <xf numFmtId="44" fontId="20" fillId="9" borderId="25" xfId="54" applyFont="1" applyFill="1" applyBorder="1" applyAlignment="1">
      <alignment horizontal="left" vertical="center" wrapText="1"/>
    </xf>
    <xf numFmtId="44" fontId="76" fillId="9" borderId="25" xfId="0" applyNumberFormat="1" applyFont="1" applyFill="1" applyBorder="1" applyAlignment="1">
      <alignment vertical="center"/>
    </xf>
    <xf numFmtId="44" fontId="77" fillId="0" borderId="25" xfId="0" applyNumberFormat="1" applyFont="1" applyFill="1" applyBorder="1" applyAlignment="1">
      <alignment vertical="center"/>
    </xf>
    <xf numFmtId="44" fontId="76" fillId="9" borderId="25" xfId="54" applyFont="1" applyFill="1" applyBorder="1" applyAlignment="1">
      <alignment horizontal="center" vertical="center"/>
    </xf>
    <xf numFmtId="44" fontId="77" fillId="0" borderId="25" xfId="54" applyFont="1" applyFill="1" applyBorder="1" applyAlignment="1">
      <alignment horizontal="center" vertical="center"/>
    </xf>
    <xf numFmtId="8" fontId="76" fillId="9" borderId="25" xfId="0" applyNumberFormat="1" applyFont="1" applyFill="1" applyBorder="1" applyAlignment="1">
      <alignment vertical="center"/>
    </xf>
    <xf numFmtId="8" fontId="77" fillId="0" borderId="25" xfId="0" applyNumberFormat="1" applyFont="1" applyFill="1" applyBorder="1" applyAlignment="1">
      <alignment vertical="center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18" fillId="10" borderId="31" xfId="0" applyNumberFormat="1" applyFont="1" applyFill="1" applyBorder="1" applyAlignment="1">
      <alignment horizontal="center" vertical="center" wrapText="1"/>
    </xf>
    <xf numFmtId="0" fontId="18" fillId="4" borderId="3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8" fontId="8" fillId="0" borderId="14" xfId="47" applyNumberFormat="1" applyFont="1" applyBorder="1" applyAlignment="1">
      <alignment horizontal="center" vertical="center"/>
    </xf>
    <xf numFmtId="8" fontId="8" fillId="36" borderId="14" xfId="47" applyNumberFormat="1" applyFont="1" applyFill="1" applyBorder="1" applyAlignment="1">
      <alignment horizontal="center" vertical="center"/>
    </xf>
    <xf numFmtId="8" fontId="8" fillId="0" borderId="14" xfId="47" applyNumberFormat="1" applyFont="1" applyBorder="1" applyAlignment="1">
      <alignment vertical="center"/>
    </xf>
    <xf numFmtId="8" fontId="8" fillId="0" borderId="16" xfId="47" applyNumberFormat="1" applyFont="1" applyBorder="1" applyAlignment="1">
      <alignment vertical="center"/>
    </xf>
    <xf numFmtId="8" fontId="8" fillId="36" borderId="16" xfId="47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/>
    </xf>
    <xf numFmtId="44" fontId="1" fillId="0" borderId="31" xfId="47" applyFont="1" applyBorder="1" applyAlignment="1">
      <alignment vertical="center"/>
    </xf>
    <xf numFmtId="44" fontId="1" fillId="4" borderId="31" xfId="47" applyFont="1" applyFill="1" applyBorder="1" applyAlignment="1">
      <alignment vertical="center"/>
    </xf>
    <xf numFmtId="44" fontId="22" fillId="0" borderId="31" xfId="47" applyFont="1" applyBorder="1" applyAlignment="1">
      <alignment vertical="center"/>
    </xf>
    <xf numFmtId="44" fontId="22" fillId="4" borderId="31" xfId="47" applyFont="1" applyFill="1" applyBorder="1" applyAlignment="1">
      <alignment vertical="center"/>
    </xf>
    <xf numFmtId="44" fontId="1" fillId="0" borderId="31" xfId="47" applyFont="1" applyBorder="1" applyAlignment="1">
      <alignment horizontal="center" vertical="center"/>
    </xf>
    <xf numFmtId="44" fontId="1" fillId="4" borderId="31" xfId="47" applyFont="1" applyFill="1" applyBorder="1" applyAlignment="1">
      <alignment horizontal="center" vertical="center"/>
    </xf>
    <xf numFmtId="44" fontId="22" fillId="4" borderId="31" xfId="47" applyFont="1" applyFill="1" applyBorder="1" applyAlignment="1">
      <alignment horizontal="center" vertical="center"/>
    </xf>
    <xf numFmtId="44" fontId="24" fillId="10" borderId="31" xfId="47" applyFont="1" applyFill="1" applyBorder="1" applyAlignment="1">
      <alignment vertical="center"/>
    </xf>
    <xf numFmtId="44" fontId="24" fillId="4" borderId="31" xfId="47" applyFont="1" applyFill="1" applyBorder="1" applyAlignment="1">
      <alignment vertical="center"/>
    </xf>
    <xf numFmtId="0" fontId="1" fillId="34" borderId="31" xfId="61" applyNumberFormat="1" applyFont="1" applyFill="1" applyBorder="1" applyAlignment="1">
      <alignment horizontal="justify" vertical="center" wrapText="1"/>
      <protection/>
    </xf>
    <xf numFmtId="0" fontId="1" fillId="35" borderId="31" xfId="61" applyNumberFormat="1" applyFont="1" applyFill="1" applyBorder="1" applyAlignment="1">
      <alignment horizontal="justify" vertical="center" wrapText="1"/>
      <protection/>
    </xf>
    <xf numFmtId="0" fontId="1" fillId="0" borderId="31" xfId="61" applyNumberFormat="1" applyFont="1" applyFill="1" applyBorder="1" applyAlignment="1">
      <alignment horizontal="justify" vertical="center" wrapText="1"/>
      <protection/>
    </xf>
    <xf numFmtId="0" fontId="1" fillId="0" borderId="31" xfId="61" applyNumberFormat="1" applyFont="1" applyFill="1" applyBorder="1" applyAlignment="1">
      <alignment horizontal="justify" vertical="center" wrapText="1" shrinkToFit="1"/>
      <protection/>
    </xf>
    <xf numFmtId="0" fontId="25" fillId="35" borderId="31" xfId="61" applyNumberFormat="1" applyFont="1" applyFill="1" applyBorder="1" applyAlignment="1">
      <alignment horizontal="justify" vertical="center" wrapText="1"/>
      <protection/>
    </xf>
    <xf numFmtId="0" fontId="8" fillId="0" borderId="31" xfId="0" applyFont="1" applyFill="1" applyBorder="1" applyAlignment="1">
      <alignment horizontal="center" vertical="center" textRotation="90" wrapText="1"/>
    </xf>
    <xf numFmtId="0" fontId="8" fillId="34" borderId="31" xfId="0" applyFont="1" applyFill="1" applyBorder="1" applyAlignment="1">
      <alignment horizontal="center" vertical="center" textRotation="90" wrapText="1"/>
    </xf>
    <xf numFmtId="44" fontId="1" fillId="0" borderId="31" xfId="47" applyFont="1" applyBorder="1" applyAlignment="1">
      <alignment vertical="center"/>
    </xf>
    <xf numFmtId="44" fontId="1" fillId="0" borderId="31" xfId="47" applyFont="1" applyBorder="1" applyAlignment="1">
      <alignment horizontal="center" vertical="center"/>
    </xf>
    <xf numFmtId="44" fontId="1" fillId="4" borderId="31" xfId="47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textRotation="90" wrapText="1"/>
    </xf>
    <xf numFmtId="44" fontId="1" fillId="0" borderId="31" xfId="47" applyFont="1" applyBorder="1" applyAlignment="1">
      <alignment vertical="center"/>
    </xf>
    <xf numFmtId="0" fontId="1" fillId="0" borderId="31" xfId="0" applyNumberFormat="1" applyFont="1" applyFill="1" applyBorder="1" applyAlignment="1">
      <alignment horizontal="justify" vertical="center" wrapText="1"/>
    </xf>
    <xf numFmtId="44" fontId="21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0" fontId="8" fillId="0" borderId="31" xfId="0" applyFont="1" applyFill="1" applyBorder="1" applyAlignment="1">
      <alignment horizontal="center" vertical="center" textRotation="90" wrapText="1"/>
    </xf>
    <xf numFmtId="44" fontId="1" fillId="4" borderId="31" xfId="47" applyFont="1" applyFill="1" applyBorder="1" applyAlignment="1">
      <alignment horizontal="center" vertical="center"/>
    </xf>
    <xf numFmtId="44" fontId="1" fillId="0" borderId="31" xfId="47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5" fillId="34" borderId="31" xfId="61" applyNumberFormat="1" applyFont="1" applyFill="1" applyBorder="1" applyAlignment="1">
      <alignment horizontal="justify" vertical="center" wrapText="1"/>
      <protection/>
    </xf>
    <xf numFmtId="44" fontId="1" fillId="0" borderId="31" xfId="47" applyFont="1" applyBorder="1" applyAlignment="1">
      <alignment horizontal="center" vertical="center"/>
    </xf>
    <xf numFmtId="44" fontId="1" fillId="4" borderId="31" xfId="47" applyFont="1" applyFill="1" applyBorder="1" applyAlignment="1">
      <alignment horizontal="center" vertical="center"/>
    </xf>
    <xf numFmtId="44" fontId="1" fillId="0" borderId="31" xfId="47" applyFont="1" applyBorder="1" applyAlignment="1">
      <alignment vertical="center"/>
    </xf>
    <xf numFmtId="44" fontId="23" fillId="0" borderId="0" xfId="0" applyNumberFormat="1" applyFont="1" applyAlignment="1">
      <alignment wrapText="1"/>
    </xf>
    <xf numFmtId="44" fontId="1" fillId="4" borderId="31" xfId="47" applyFont="1" applyFill="1" applyBorder="1" applyAlignment="1">
      <alignment horizontal="center" vertical="center"/>
    </xf>
    <xf numFmtId="44" fontId="1" fillId="0" borderId="31" xfId="47" applyFont="1" applyBorder="1" applyAlignment="1">
      <alignment horizontal="center" vertical="center"/>
    </xf>
    <xf numFmtId="44" fontId="1" fillId="0" borderId="31" xfId="47" applyFont="1" applyBorder="1" applyAlignment="1">
      <alignment vertical="center"/>
    </xf>
    <xf numFmtId="0" fontId="2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7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right"/>
    </xf>
    <xf numFmtId="0" fontId="27" fillId="0" borderId="0" xfId="0" applyNumberFormat="1" applyFont="1" applyAlignment="1">
      <alignment/>
    </xf>
    <xf numFmtId="44" fontId="1" fillId="0" borderId="31" xfId="47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textRotation="90" wrapText="1"/>
    </xf>
    <xf numFmtId="44" fontId="1" fillId="4" borderId="31" xfId="47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textRotation="90" wrapText="1"/>
    </xf>
    <xf numFmtId="44" fontId="1" fillId="0" borderId="31" xfId="47" applyFont="1" applyBorder="1" applyAlignment="1">
      <alignment horizontal="center" vertical="center"/>
    </xf>
    <xf numFmtId="44" fontId="1" fillId="4" borderId="31" xfId="47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textRotation="90" wrapText="1"/>
    </xf>
    <xf numFmtId="44" fontId="1" fillId="0" borderId="31" xfId="47" applyFont="1" applyBorder="1" applyAlignment="1">
      <alignment vertical="center"/>
    </xf>
    <xf numFmtId="0" fontId="8" fillId="34" borderId="0" xfId="0" applyFont="1" applyFill="1" applyBorder="1" applyAlignment="1">
      <alignment horizontal="center" vertical="center" textRotation="90" wrapText="1"/>
    </xf>
    <xf numFmtId="44" fontId="1" fillId="4" borderId="31" xfId="47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44" fontId="1" fillId="4" borderId="32" xfId="47" applyFont="1" applyFill="1" applyBorder="1" applyAlignment="1">
      <alignment horizontal="center" vertical="center"/>
    </xf>
    <xf numFmtId="44" fontId="1" fillId="4" borderId="33" xfId="47" applyFont="1" applyFill="1" applyBorder="1" applyAlignment="1">
      <alignment horizontal="center" vertical="center"/>
    </xf>
    <xf numFmtId="44" fontId="1" fillId="4" borderId="34" xfId="47" applyFont="1" applyFill="1" applyBorder="1" applyAlignment="1">
      <alignment horizontal="center" vertical="center"/>
    </xf>
    <xf numFmtId="44" fontId="1" fillId="0" borderId="31" xfId="47" applyFont="1" applyBorder="1" applyAlignment="1">
      <alignment horizontal="center" vertical="center"/>
    </xf>
    <xf numFmtId="44" fontId="8" fillId="0" borderId="31" xfId="47" applyFont="1" applyBorder="1" applyAlignment="1">
      <alignment horizontal="center" vertical="center"/>
    </xf>
    <xf numFmtId="44" fontId="8" fillId="4" borderId="31" xfId="47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textRotation="90" wrapText="1"/>
    </xf>
    <xf numFmtId="0" fontId="8" fillId="34" borderId="36" xfId="0" applyFont="1" applyFill="1" applyBorder="1" applyAlignment="1">
      <alignment horizontal="center" vertical="center" textRotation="90" wrapText="1"/>
    </xf>
    <xf numFmtId="0" fontId="8" fillId="34" borderId="31" xfId="0" applyFont="1" applyFill="1" applyBorder="1" applyAlignment="1">
      <alignment horizontal="center" vertical="center" textRotation="90" wrapText="1"/>
    </xf>
    <xf numFmtId="44" fontId="1" fillId="0" borderId="31" xfId="47" applyFont="1" applyBorder="1" applyAlignment="1">
      <alignment vertical="center"/>
    </xf>
    <xf numFmtId="44" fontId="1" fillId="0" borderId="32" xfId="47" applyFont="1" applyBorder="1" applyAlignment="1">
      <alignment horizontal="center" vertical="center"/>
    </xf>
    <xf numFmtId="44" fontId="1" fillId="0" borderId="33" xfId="47" applyFont="1" applyBorder="1" applyAlignment="1">
      <alignment horizontal="center" vertical="center"/>
    </xf>
    <xf numFmtId="44" fontId="1" fillId="0" borderId="34" xfId="47" applyFont="1" applyBorder="1" applyAlignment="1">
      <alignment horizontal="center" vertical="center"/>
    </xf>
    <xf numFmtId="0" fontId="19" fillId="10" borderId="31" xfId="0" applyFont="1" applyFill="1" applyBorder="1" applyAlignment="1">
      <alignment horizontal="center" vertical="center" wrapText="1"/>
    </xf>
    <xf numFmtId="0" fontId="7" fillId="10" borderId="31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49" fontId="7" fillId="4" borderId="31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textRotation="90" wrapText="1"/>
    </xf>
    <xf numFmtId="0" fontId="78" fillId="10" borderId="31" xfId="0" applyNumberFormat="1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textRotation="90" wrapText="1"/>
    </xf>
    <xf numFmtId="0" fontId="8" fillId="34" borderId="33" xfId="0" applyFont="1" applyFill="1" applyBorder="1" applyAlignment="1">
      <alignment horizontal="center" vertical="center" textRotation="90" wrapText="1"/>
    </xf>
    <xf numFmtId="0" fontId="8" fillId="34" borderId="34" xfId="0" applyFont="1" applyFill="1" applyBorder="1" applyAlignment="1">
      <alignment horizontal="center" vertical="center" textRotation="90" wrapText="1"/>
    </xf>
    <xf numFmtId="0" fontId="27" fillId="0" borderId="0" xfId="0" applyNumberFormat="1" applyFont="1" applyAlignment="1">
      <alignment horizontal="center"/>
    </xf>
    <xf numFmtId="0" fontId="28" fillId="0" borderId="0" xfId="0" applyNumberFormat="1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textRotation="90" wrapText="1"/>
    </xf>
    <xf numFmtId="0" fontId="8" fillId="0" borderId="34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/>
    </xf>
    <xf numFmtId="44" fontId="1" fillId="0" borderId="32" xfId="47" applyFont="1" applyBorder="1" applyAlignment="1">
      <alignment horizontal="center"/>
    </xf>
    <xf numFmtId="44" fontId="1" fillId="0" borderId="33" xfId="47" applyFont="1" applyBorder="1" applyAlignment="1">
      <alignment horizontal="center"/>
    </xf>
    <xf numFmtId="44" fontId="1" fillId="0" borderId="34" xfId="47" applyFont="1" applyBorder="1" applyAlignment="1">
      <alignment horizontal="center"/>
    </xf>
    <xf numFmtId="0" fontId="72" fillId="0" borderId="31" xfId="0" applyFont="1" applyFill="1" applyBorder="1" applyAlignment="1">
      <alignment horizontal="center" vertical="center" textRotation="90" wrapText="1"/>
    </xf>
    <xf numFmtId="0" fontId="27" fillId="0" borderId="0" xfId="0" applyFont="1" applyBorder="1" applyAlignment="1">
      <alignment horizontal="left" wrapText="1"/>
    </xf>
    <xf numFmtId="44" fontId="8" fillId="0" borderId="15" xfId="47" applyFont="1" applyBorder="1" applyAlignment="1">
      <alignment horizontal="center" vertical="center"/>
    </xf>
    <xf numFmtId="44" fontId="8" fillId="0" borderId="37" xfId="47" applyFont="1" applyBorder="1" applyAlignment="1">
      <alignment horizontal="center" vertical="center"/>
    </xf>
    <xf numFmtId="0" fontId="78" fillId="33" borderId="38" xfId="0" applyNumberFormat="1" applyFont="1" applyFill="1" applyBorder="1" applyAlignment="1">
      <alignment horizontal="center" vertical="center" wrapText="1"/>
    </xf>
    <xf numFmtId="0" fontId="78" fillId="33" borderId="39" xfId="0" applyNumberFormat="1" applyFont="1" applyFill="1" applyBorder="1" applyAlignment="1">
      <alignment horizontal="center" vertical="center" wrapText="1"/>
    </xf>
    <xf numFmtId="0" fontId="78" fillId="33" borderId="40" xfId="0" applyNumberFormat="1" applyFont="1" applyFill="1" applyBorder="1" applyAlignment="1">
      <alignment horizontal="center" vertical="center" wrapText="1"/>
    </xf>
    <xf numFmtId="0" fontId="78" fillId="33" borderId="41" xfId="0" applyNumberFormat="1" applyFont="1" applyFill="1" applyBorder="1" applyAlignment="1">
      <alignment horizontal="center" vertical="center" wrapText="1"/>
    </xf>
    <xf numFmtId="0" fontId="78" fillId="33" borderId="0" xfId="0" applyNumberFormat="1" applyFont="1" applyFill="1" applyBorder="1" applyAlignment="1">
      <alignment horizontal="center" vertical="center" wrapText="1"/>
    </xf>
    <xf numFmtId="0" fontId="78" fillId="33" borderId="42" xfId="0" applyNumberFormat="1" applyFont="1" applyFill="1" applyBorder="1" applyAlignment="1">
      <alignment horizontal="center" vertical="center" wrapText="1"/>
    </xf>
    <xf numFmtId="0" fontId="7" fillId="33" borderId="43" xfId="0" applyNumberFormat="1" applyFont="1" applyFill="1" applyBorder="1" applyAlignment="1">
      <alignment horizontal="center" vertical="center"/>
    </xf>
    <xf numFmtId="0" fontId="7" fillId="33" borderId="44" xfId="0" applyNumberFormat="1" applyFont="1" applyFill="1" applyBorder="1" applyAlignment="1">
      <alignment horizontal="center" vertical="center"/>
    </xf>
    <xf numFmtId="0" fontId="7" fillId="33" borderId="45" xfId="0" applyNumberFormat="1" applyFont="1" applyFill="1" applyBorder="1" applyAlignment="1">
      <alignment horizontal="center" vertical="center"/>
    </xf>
    <xf numFmtId="0" fontId="73" fillId="34" borderId="46" xfId="0" applyFont="1" applyFill="1" applyBorder="1" applyAlignment="1">
      <alignment horizontal="center" vertical="center" textRotation="90" wrapText="1"/>
    </xf>
    <xf numFmtId="0" fontId="73" fillId="34" borderId="47" xfId="0" applyFont="1" applyFill="1" applyBorder="1" applyAlignment="1">
      <alignment horizontal="center" vertical="center" textRotation="90" wrapText="1"/>
    </xf>
    <xf numFmtId="0" fontId="73" fillId="34" borderId="48" xfId="0" applyFont="1" applyFill="1" applyBorder="1" applyAlignment="1">
      <alignment horizontal="center" vertical="center" textRotation="90" wrapText="1"/>
    </xf>
    <xf numFmtId="44" fontId="8" fillId="0" borderId="11" xfId="47" applyFont="1" applyBorder="1" applyAlignment="1">
      <alignment horizontal="center" vertical="center"/>
    </xf>
    <xf numFmtId="44" fontId="8" fillId="0" borderId="12" xfId="47" applyFont="1" applyBorder="1" applyAlignment="1">
      <alignment horizontal="center" vertical="center"/>
    </xf>
    <xf numFmtId="44" fontId="8" fillId="0" borderId="11" xfId="47" applyFont="1" applyBorder="1" applyAlignment="1">
      <alignment vertical="center"/>
    </xf>
    <xf numFmtId="44" fontId="8" fillId="0" borderId="12" xfId="47" applyFont="1" applyBorder="1" applyAlignment="1">
      <alignment vertical="center"/>
    </xf>
    <xf numFmtId="44" fontId="8" fillId="0" borderId="11" xfId="47" applyFont="1" applyBorder="1" applyAlignment="1">
      <alignment horizontal="center"/>
    </xf>
    <xf numFmtId="44" fontId="8" fillId="0" borderId="12" xfId="47" applyFont="1" applyBorder="1" applyAlignment="1">
      <alignment horizontal="center"/>
    </xf>
    <xf numFmtId="44" fontId="8" fillId="36" borderId="11" xfId="47" applyFont="1" applyFill="1" applyBorder="1" applyAlignment="1">
      <alignment horizontal="center" vertical="center"/>
    </xf>
    <xf numFmtId="44" fontId="8" fillId="36" borderId="12" xfId="47" applyFont="1" applyFill="1" applyBorder="1" applyAlignment="1">
      <alignment horizontal="center" vertical="center"/>
    </xf>
    <xf numFmtId="0" fontId="73" fillId="34" borderId="11" xfId="0" applyFont="1" applyFill="1" applyBorder="1" applyAlignment="1">
      <alignment horizontal="center" vertical="center" textRotation="90" wrapText="1"/>
    </xf>
    <xf numFmtId="0" fontId="73" fillId="34" borderId="12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34" borderId="24" xfId="0" applyFont="1" applyFill="1" applyBorder="1" applyAlignment="1">
      <alignment horizontal="center" vertical="center" textRotation="90" wrapText="1"/>
    </xf>
    <xf numFmtId="0" fontId="12" fillId="34" borderId="17" xfId="0" applyFont="1" applyFill="1" applyBorder="1" applyAlignment="1">
      <alignment horizontal="center" vertical="center" textRotation="90" wrapText="1"/>
    </xf>
    <xf numFmtId="44" fontId="8" fillId="0" borderId="24" xfId="47" applyFont="1" applyBorder="1" applyAlignment="1">
      <alignment vertical="center"/>
    </xf>
    <xf numFmtId="44" fontId="8" fillId="0" borderId="17" xfId="47" applyFont="1" applyBorder="1" applyAlignment="1">
      <alignment vertical="center"/>
    </xf>
    <xf numFmtId="44" fontId="8" fillId="36" borderId="24" xfId="47" applyFont="1" applyFill="1" applyBorder="1" applyAlignment="1">
      <alignment horizontal="center" vertical="center"/>
    </xf>
    <xf numFmtId="44" fontId="8" fillId="36" borderId="17" xfId="47" applyFont="1" applyFill="1" applyBorder="1" applyAlignment="1">
      <alignment horizontal="center" vertical="center"/>
    </xf>
    <xf numFmtId="44" fontId="8" fillId="0" borderId="24" xfId="47" applyFont="1" applyBorder="1" applyAlignment="1">
      <alignment horizontal="center" vertical="center"/>
    </xf>
    <xf numFmtId="44" fontId="8" fillId="0" borderId="17" xfId="47" applyFont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textRotation="90" wrapText="1"/>
    </xf>
    <xf numFmtId="0" fontId="12" fillId="34" borderId="13" xfId="0" applyFont="1" applyFill="1" applyBorder="1" applyAlignment="1">
      <alignment horizontal="center" vertical="center" textRotation="90" wrapText="1"/>
    </xf>
    <xf numFmtId="44" fontId="8" fillId="0" borderId="13" xfId="47" applyFont="1" applyBorder="1" applyAlignment="1">
      <alignment vertical="center"/>
    </xf>
    <xf numFmtId="44" fontId="8" fillId="37" borderId="11" xfId="47" applyFont="1" applyFill="1" applyBorder="1" applyAlignment="1">
      <alignment vertical="center"/>
    </xf>
    <xf numFmtId="44" fontId="8" fillId="37" borderId="12" xfId="47" applyFont="1" applyFill="1" applyBorder="1" applyAlignment="1">
      <alignment vertical="center"/>
    </xf>
    <xf numFmtId="44" fontId="8" fillId="37" borderId="13" xfId="47" applyFont="1" applyFill="1" applyBorder="1" applyAlignment="1">
      <alignment vertical="center"/>
    </xf>
    <xf numFmtId="44" fontId="8" fillId="0" borderId="11" xfId="47" applyFont="1" applyFill="1" applyBorder="1" applyAlignment="1">
      <alignment vertical="center"/>
    </xf>
    <xf numFmtId="44" fontId="8" fillId="0" borderId="12" xfId="47" applyFont="1" applyFill="1" applyBorder="1" applyAlignment="1">
      <alignment vertical="center"/>
    </xf>
    <xf numFmtId="44" fontId="8" fillId="37" borderId="24" xfId="47" applyFont="1" applyFill="1" applyBorder="1" applyAlignment="1">
      <alignment horizontal="center" vertical="center"/>
    </xf>
    <xf numFmtId="44" fontId="8" fillId="37" borderId="17" xfId="47" applyFont="1" applyFill="1" applyBorder="1" applyAlignment="1">
      <alignment horizontal="center" vertical="center"/>
    </xf>
    <xf numFmtId="44" fontId="8" fillId="0" borderId="24" xfId="47" applyFont="1" applyFill="1" applyBorder="1" applyAlignment="1">
      <alignment horizontal="center" vertical="center"/>
    </xf>
    <xf numFmtId="44" fontId="8" fillId="0" borderId="17" xfId="47" applyFont="1" applyFill="1" applyBorder="1" applyAlignment="1">
      <alignment horizontal="center" vertical="center"/>
    </xf>
    <xf numFmtId="44" fontId="10" fillId="39" borderId="24" xfId="47" applyFont="1" applyFill="1" applyBorder="1" applyAlignment="1">
      <alignment horizontal="center" vertical="center"/>
    </xf>
    <xf numFmtId="44" fontId="10" fillId="39" borderId="17" xfId="47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4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79" fillId="0" borderId="25" xfId="0" applyFont="1" applyBorder="1" applyAlignment="1">
      <alignment horizontal="center"/>
    </xf>
    <xf numFmtId="0" fontId="20" fillId="13" borderId="25" xfId="0" applyNumberFormat="1" applyFont="1" applyFill="1" applyBorder="1" applyAlignment="1">
      <alignment horizontal="left" vertical="center" wrapText="1"/>
    </xf>
    <xf numFmtId="0" fontId="20" fillId="9" borderId="28" xfId="0" applyNumberFormat="1" applyFont="1" applyFill="1" applyBorder="1" applyAlignment="1">
      <alignment horizontal="center" vertical="center" wrapText="1"/>
    </xf>
    <xf numFmtId="0" fontId="20" fillId="9" borderId="30" xfId="0" applyNumberFormat="1" applyFont="1" applyFill="1" applyBorder="1" applyAlignment="1">
      <alignment horizontal="center" vertical="center" wrapText="1"/>
    </xf>
    <xf numFmtId="0" fontId="76" fillId="9" borderId="25" xfId="0" applyFont="1" applyFill="1" applyBorder="1" applyAlignment="1">
      <alignment horizontal="center" vertical="center" wrapText="1"/>
    </xf>
    <xf numFmtId="8" fontId="76" fillId="9" borderId="28" xfId="0" applyNumberFormat="1" applyFont="1" applyFill="1" applyBorder="1" applyAlignment="1">
      <alignment horizontal="center" vertical="center"/>
    </xf>
    <xf numFmtId="8" fontId="76" fillId="9" borderId="30" xfId="0" applyNumberFormat="1" applyFont="1" applyFill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Currency" xfId="47"/>
    <cellStyle name="Currency [0]" xfId="48"/>
    <cellStyle name="Moeda 2" xfId="49"/>
    <cellStyle name="Moeda 2 2" xfId="50"/>
    <cellStyle name="Moeda 2 3" xfId="51"/>
    <cellStyle name="Moeda 2 4" xfId="52"/>
    <cellStyle name="Moeda 2 5" xfId="53"/>
    <cellStyle name="Moeda 3" xfId="54"/>
    <cellStyle name="Moeda 4" xfId="55"/>
    <cellStyle name="Moeda 5" xfId="56"/>
    <cellStyle name="Moeda 5 2" xfId="57"/>
    <cellStyle name="Moeda 6" xfId="58"/>
    <cellStyle name="Moeda 7" xfId="59"/>
    <cellStyle name="Neutro" xfId="60"/>
    <cellStyle name="Normal 2" xfId="61"/>
    <cellStyle name="Normal 2 2" xfId="62"/>
    <cellStyle name="Normal 3" xfId="63"/>
    <cellStyle name="Normal 4" xfId="64"/>
    <cellStyle name="Nota" xfId="65"/>
    <cellStyle name="Percent" xfId="66"/>
    <cellStyle name="Porcentagem 2" xfId="67"/>
    <cellStyle name="Ruim" xfId="68"/>
    <cellStyle name="Saída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ítulo 5" xfId="78"/>
    <cellStyle name="Total" xfId="79"/>
    <cellStyle name="Comma" xfId="80"/>
    <cellStyle name="Vírgula 2" xfId="81"/>
    <cellStyle name="Vírgula 3" xfId="82"/>
    <cellStyle name="Vírgula 4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180975</xdr:rowOff>
    </xdr:from>
    <xdr:to>
      <xdr:col>2</xdr:col>
      <xdr:colOff>1724025</xdr:colOff>
      <xdr:row>2</xdr:row>
      <xdr:rowOff>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2628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0</xdr:row>
      <xdr:rowOff>85725</xdr:rowOff>
    </xdr:from>
    <xdr:to>
      <xdr:col>10</xdr:col>
      <xdr:colOff>971550</xdr:colOff>
      <xdr:row>1</xdr:row>
      <xdr:rowOff>342900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63575" y="857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7.1.1\gfin\CI%20-%20Despachos%20-%20Ofic&#237;os\PROVISIONAMENTO%20DE%20DESPESAS\OR&#199;AMENTO%20BASE%20-%2014&#176;%20Termo%20Aditivo%20-%2018.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SSOAL ROGÉRIO"/>
      <sheetName val="PESSOAL E ENCARGOS"/>
      <sheetName val="TOTAL"/>
      <sheetName val="Média das Despesas Àgua e Luz"/>
      <sheetName val="CGSF DEP CORRENTES"/>
      <sheetName val="CGSF PESSOAL E ENCARGOS"/>
      <sheetName val="CCIVV DEP CORRENTES"/>
      <sheetName val="CCIVV DEP PESSOAL "/>
      <sheetName val="CCICM DEP CORRENTES"/>
      <sheetName val="CCICM PESSOAL E ENCARGOS"/>
      <sheetName val="CCINF DESPESAS CORRENTES"/>
      <sheetName val="CCINF PESSOAL E ENCARGOS"/>
      <sheetName val="CCANM DESPESAS CORRENTES"/>
      <sheetName val="CCANM PESSOAL E ENCARGOS"/>
      <sheetName val="CSDGB DESPESAS CORRENTES"/>
      <sheetName val="CSDGB PESSOAL E ENCARGOS"/>
      <sheetName val="CIGO DESPESAS CORRENTES"/>
      <sheetName val="CIGO PESSOAL E ENCARGOS"/>
      <sheetName val="CGV DESPESAS CORRENTES"/>
      <sheetName val="CGV PESSOAL E ENCARGOS"/>
      <sheetName val="GASB DESPESAS OPERACIONAIS"/>
      <sheetName val="GASB PESSOAL E ENCARGOS"/>
      <sheetName val="METAS GASB I"/>
      <sheetName val="METAS GASB II"/>
      <sheetName val="METAS GASB III"/>
      <sheetName val="METAS GASB IV"/>
      <sheetName val="COMPARATIVO"/>
      <sheetName val="NATAL DESPESAS OPERACIONAL"/>
      <sheetName val="ROMARIAS MUQUÉM"/>
      <sheetName val="ROMARIA TRINDADE"/>
      <sheetName val="SEDE DESPESAS CORRENTES"/>
      <sheetName val="SEDE PESSOAL E ENCARGOS "/>
      <sheetName val="RESTAURANTE DESPESAS OPERACIONA"/>
      <sheetName val="RESTAURANTE PESSOAL E ENCARGOS"/>
      <sheetName val="PBU DESPESAS OPERACIONAIS"/>
      <sheetName val="SEM REGISTROS"/>
      <sheetName val="PBU PESSOAL E ENCARGOS"/>
      <sheetName val="RECURSOS PRÓPIO"/>
      <sheetName val="Planilha2"/>
    </sheetNames>
    <sheetDataSet>
      <sheetData sheetId="0">
        <row r="27">
          <cell r="AD27">
            <v>2224730.2394742286</v>
          </cell>
        </row>
        <row r="49">
          <cell r="AD49">
            <v>1285672.6595456542</v>
          </cell>
        </row>
        <row r="70">
          <cell r="AD70">
            <v>1158138.9626435505</v>
          </cell>
        </row>
        <row r="90">
          <cell r="AD90">
            <v>997372.6346479561</v>
          </cell>
        </row>
        <row r="111">
          <cell r="AD111">
            <v>1281799.0862670415</v>
          </cell>
        </row>
        <row r="132">
          <cell r="AD132">
            <v>2034287.2845974565</v>
          </cell>
        </row>
        <row r="152">
          <cell r="AD152">
            <v>5380214.347206575</v>
          </cell>
        </row>
        <row r="172">
          <cell r="AD172">
            <v>4419376.342727917</v>
          </cell>
        </row>
        <row r="192">
          <cell r="AD192">
            <v>1223000.580664106</v>
          </cell>
        </row>
        <row r="212">
          <cell r="AD212">
            <v>3353662.2934555886</v>
          </cell>
        </row>
        <row r="255">
          <cell r="AD255">
            <v>18539378.18676946</v>
          </cell>
        </row>
      </sheetData>
      <sheetData sheetId="1">
        <row r="4">
          <cell r="B4">
            <v>29609254</v>
          </cell>
          <cell r="C4">
            <v>41547244.98</v>
          </cell>
          <cell r="D4">
            <v>42067632.61799953</v>
          </cell>
          <cell r="E4">
            <v>3459165.790354749</v>
          </cell>
          <cell r="F4">
            <v>3500753.208354749</v>
          </cell>
          <cell r="G4">
            <v>3460386.2440547487</v>
          </cell>
          <cell r="H4">
            <v>3457876.798054749</v>
          </cell>
          <cell r="I4">
            <v>3457876.798054749</v>
          </cell>
          <cell r="J4">
            <v>3528534.0654547485</v>
          </cell>
          <cell r="K4">
            <v>3462348.2174873753</v>
          </cell>
          <cell r="L4">
            <v>3459490.624487376</v>
          </cell>
          <cell r="M4">
            <v>3544007.561748072</v>
          </cell>
          <cell r="N4">
            <v>3545731.1033160724</v>
          </cell>
          <cell r="O4">
            <v>3545731.1033160724</v>
          </cell>
          <cell r="P4">
            <v>3645731.1033160724</v>
          </cell>
        </row>
      </sheetData>
      <sheetData sheetId="3">
        <row r="2">
          <cell r="I2">
            <v>244542.44</v>
          </cell>
        </row>
        <row r="3">
          <cell r="I3">
            <v>334094.20499999996</v>
          </cell>
        </row>
        <row r="4">
          <cell r="I4">
            <v>49584.389</v>
          </cell>
        </row>
        <row r="5">
          <cell r="I5">
            <v>67934.2145</v>
          </cell>
        </row>
        <row r="6">
          <cell r="I6">
            <v>40951.258499999996</v>
          </cell>
        </row>
        <row r="7">
          <cell r="I7">
            <v>18099.953500000003</v>
          </cell>
        </row>
        <row r="8">
          <cell r="I8">
            <v>223271.86750000002</v>
          </cell>
        </row>
        <row r="9">
          <cell r="I9">
            <v>40661.838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175000.21499999997</v>
          </cell>
        </row>
      </sheetData>
      <sheetData sheetId="4">
        <row r="6">
          <cell r="B6">
            <v>3542638.7860000003</v>
          </cell>
          <cell r="C6">
            <v>276419.4413333334</v>
          </cell>
          <cell r="D6">
            <v>270230.9713333333</v>
          </cell>
          <cell r="E6">
            <v>269030.9713333333</v>
          </cell>
          <cell r="F6">
            <v>269190.9713333333</v>
          </cell>
          <cell r="G6">
            <v>268838.5613333333</v>
          </cell>
          <cell r="H6">
            <v>268838.5613333333</v>
          </cell>
          <cell r="I6">
            <v>268998.5613333333</v>
          </cell>
          <cell r="J6">
            <v>268838.5613333333</v>
          </cell>
          <cell r="K6">
            <v>385505.228</v>
          </cell>
          <cell r="L6">
            <v>387665.228</v>
          </cell>
          <cell r="M6">
            <v>368768.94800000003</v>
          </cell>
          <cell r="N6">
            <v>240312.78133333335</v>
          </cell>
        </row>
      </sheetData>
      <sheetData sheetId="5">
        <row r="5">
          <cell r="C5">
            <v>443520.81776560197</v>
          </cell>
          <cell r="D5">
            <v>443520.81776560197</v>
          </cell>
          <cell r="E5">
            <v>443520.81776560197</v>
          </cell>
          <cell r="F5">
            <v>443520.81776560197</v>
          </cell>
          <cell r="G5">
            <v>443520.81776560197</v>
          </cell>
          <cell r="H5">
            <v>444199.25496560195</v>
          </cell>
          <cell r="I5">
            <v>444516.18124076445</v>
          </cell>
          <cell r="J5">
            <v>444516.18124076445</v>
          </cell>
          <cell r="K5">
            <v>457120.81292285863</v>
          </cell>
          <cell r="L5">
            <v>457419.27600285853</v>
          </cell>
          <cell r="M5">
            <v>457419.27600285853</v>
          </cell>
          <cell r="N5">
            <v>457419.27600285853</v>
          </cell>
        </row>
      </sheetData>
      <sheetData sheetId="6">
        <row r="6">
          <cell r="B6">
            <v>1142799.0897999997</v>
          </cell>
          <cell r="C6">
            <v>165200.99748333334</v>
          </cell>
          <cell r="D6">
            <v>158840.99748333334</v>
          </cell>
          <cell r="E6">
            <v>158200.99748333334</v>
          </cell>
          <cell r="F6">
            <v>74307.66415</v>
          </cell>
          <cell r="G6">
            <v>74495.25415</v>
          </cell>
          <cell r="H6">
            <v>73935.25415</v>
          </cell>
          <cell r="I6">
            <v>74495.25415</v>
          </cell>
          <cell r="J6">
            <v>75935.25415</v>
          </cell>
          <cell r="K6">
            <v>74495.25415</v>
          </cell>
          <cell r="L6">
            <v>75935.25415</v>
          </cell>
          <cell r="M6">
            <v>74127.91415</v>
          </cell>
          <cell r="N6">
            <v>62828.99415</v>
          </cell>
        </row>
      </sheetData>
      <sheetData sheetId="7">
        <row r="5">
          <cell r="C5">
            <v>167839.2032819301</v>
          </cell>
          <cell r="D5">
            <v>167839.2032819301</v>
          </cell>
          <cell r="E5">
            <v>167839.2032819301</v>
          </cell>
          <cell r="F5">
            <v>167839.2032819301</v>
          </cell>
          <cell r="G5">
            <v>167839.2032819301</v>
          </cell>
          <cell r="H5">
            <v>167839.2032819301</v>
          </cell>
          <cell r="I5">
            <v>168029.3469897824</v>
          </cell>
          <cell r="J5">
            <v>168029.3469897824</v>
          </cell>
          <cell r="K5">
            <v>172681.43745357776</v>
          </cell>
          <cell r="L5">
            <v>172837.3111575778</v>
          </cell>
          <cell r="M5">
            <v>172837.3111575778</v>
          </cell>
          <cell r="N5">
            <v>172837.3111575778</v>
          </cell>
        </row>
      </sheetData>
      <sheetData sheetId="8">
        <row r="6">
          <cell r="B6">
            <v>1321059.9474333334</v>
          </cell>
          <cell r="C6">
            <v>60297.9168</v>
          </cell>
          <cell r="D6">
            <v>51926.6768</v>
          </cell>
          <cell r="E6">
            <v>52776.6768</v>
          </cell>
          <cell r="F6">
            <v>51626.6768</v>
          </cell>
          <cell r="G6">
            <v>52699.85346666667</v>
          </cell>
          <cell r="H6">
            <v>54533.61096666667</v>
          </cell>
          <cell r="I6">
            <v>52311.41096666667</v>
          </cell>
          <cell r="J6">
            <v>51161.41096666667</v>
          </cell>
          <cell r="K6">
            <v>227711.41096666665</v>
          </cell>
          <cell r="L6">
            <v>226161.41096666665</v>
          </cell>
          <cell r="M6">
            <v>227311.41096666665</v>
          </cell>
          <cell r="N6">
            <v>212541.48096666666</v>
          </cell>
        </row>
      </sheetData>
      <sheetData sheetId="9">
        <row r="5">
          <cell r="C5">
            <v>105744.3635796886</v>
          </cell>
          <cell r="D5">
            <v>105744.3635796886</v>
          </cell>
          <cell r="E5">
            <v>105744.3635796886</v>
          </cell>
          <cell r="F5">
            <v>105744.3635796886</v>
          </cell>
          <cell r="G5">
            <v>105744.3635796886</v>
          </cell>
          <cell r="H5">
            <v>105744.3635796886</v>
          </cell>
          <cell r="I5">
            <v>105744.3635796886</v>
          </cell>
          <cell r="J5">
            <v>105744.3635796886</v>
          </cell>
          <cell r="K5">
            <v>108925.25950138328</v>
          </cell>
          <cell r="L5">
            <v>108972.97270938328</v>
          </cell>
          <cell r="M5">
            <v>108972.97270938328</v>
          </cell>
          <cell r="N5">
            <v>108972.97270938328</v>
          </cell>
        </row>
      </sheetData>
      <sheetData sheetId="10">
        <row r="6">
          <cell r="B6">
            <v>956918.6046000001</v>
          </cell>
          <cell r="C6">
            <v>68353.40038333334</v>
          </cell>
          <cell r="D6">
            <v>61455.50038333333</v>
          </cell>
          <cell r="E6">
            <v>61155.50038333333</v>
          </cell>
          <cell r="F6">
            <v>61155.50038333333</v>
          </cell>
          <cell r="G6">
            <v>61039.36038333333</v>
          </cell>
          <cell r="H6">
            <v>61039.36038333333</v>
          </cell>
          <cell r="I6">
            <v>61039.36038333333</v>
          </cell>
          <cell r="J6">
            <v>61039.36038333333</v>
          </cell>
          <cell r="K6">
            <v>137706.02705</v>
          </cell>
          <cell r="L6">
            <v>137706.02705</v>
          </cell>
          <cell r="M6">
            <v>137706.02705</v>
          </cell>
          <cell r="N6">
            <v>47523.180383333325</v>
          </cell>
        </row>
      </sheetData>
      <sheetData sheetId="11">
        <row r="5">
          <cell r="C5">
            <v>82319.94246052271</v>
          </cell>
          <cell r="D5">
            <v>82319.94246052271</v>
          </cell>
          <cell r="E5">
            <v>82319.94246052271</v>
          </cell>
          <cell r="F5">
            <v>82319.94246052271</v>
          </cell>
          <cell r="G5">
            <v>82319.94246052271</v>
          </cell>
          <cell r="H5">
            <v>82319.94246052271</v>
          </cell>
          <cell r="I5">
            <v>82319.94246052271</v>
          </cell>
          <cell r="J5">
            <v>82319.94246052271</v>
          </cell>
          <cell r="K5">
            <v>84695.76237094362</v>
          </cell>
          <cell r="L5">
            <v>84705.77753094363</v>
          </cell>
          <cell r="M5">
            <v>84705.77753094363</v>
          </cell>
          <cell r="N5">
            <v>84705.77753094363</v>
          </cell>
        </row>
      </sheetData>
      <sheetData sheetId="12">
        <row r="6">
          <cell r="B6">
            <v>1508255.9672000003</v>
          </cell>
          <cell r="C6">
            <v>238786.3731</v>
          </cell>
          <cell r="D6">
            <v>239217.96309999996</v>
          </cell>
          <cell r="E6">
            <v>239217.96309999996</v>
          </cell>
          <cell r="F6">
            <v>239217.96309999996</v>
          </cell>
          <cell r="G6">
            <v>68976.96310000001</v>
          </cell>
          <cell r="H6">
            <v>68976.96310000001</v>
          </cell>
          <cell r="I6">
            <v>68976.96310000001</v>
          </cell>
          <cell r="J6">
            <v>68976.96310000001</v>
          </cell>
          <cell r="K6">
            <v>68976.96310000001</v>
          </cell>
          <cell r="L6">
            <v>68976.96310000001</v>
          </cell>
          <cell r="M6">
            <v>68976.96310000001</v>
          </cell>
          <cell r="N6">
            <v>68976.96310000001</v>
          </cell>
        </row>
      </sheetData>
      <sheetData sheetId="13">
        <row r="5">
          <cell r="C5">
            <v>95589.5795664762</v>
          </cell>
          <cell r="D5">
            <v>95589.5795664762</v>
          </cell>
          <cell r="E5">
            <v>95589.5795664762</v>
          </cell>
          <cell r="F5">
            <v>95589.5795664762</v>
          </cell>
          <cell r="G5">
            <v>95589.5795664762</v>
          </cell>
          <cell r="H5">
            <v>95589.5795664762</v>
          </cell>
          <cell r="I5">
            <v>95589.5795664762</v>
          </cell>
          <cell r="J5">
            <v>95589.5795664762</v>
          </cell>
          <cell r="K5">
            <v>98268.21087193525</v>
          </cell>
          <cell r="L5">
            <v>98384.70507993526</v>
          </cell>
          <cell r="M5">
            <v>98384.70507993526</v>
          </cell>
          <cell r="N5">
            <v>98384.70507993526</v>
          </cell>
        </row>
      </sheetData>
      <sheetData sheetId="14">
        <row r="6">
          <cell r="B6">
            <v>584108.2662000001</v>
          </cell>
          <cell r="C6">
            <v>49811.929599999996</v>
          </cell>
          <cell r="D6">
            <v>41750.8196</v>
          </cell>
          <cell r="E6">
            <v>41750.8196</v>
          </cell>
          <cell r="F6">
            <v>44250.8196</v>
          </cell>
          <cell r="G6">
            <v>41651.6796</v>
          </cell>
          <cell r="H6">
            <v>41651.6796</v>
          </cell>
          <cell r="I6">
            <v>43851.6796</v>
          </cell>
          <cell r="J6">
            <v>42631.6796</v>
          </cell>
          <cell r="K6">
            <v>41651.6796</v>
          </cell>
          <cell r="L6">
            <v>41651.6796</v>
          </cell>
          <cell r="M6">
            <v>111726.9001</v>
          </cell>
          <cell r="N6">
            <v>41726.9001</v>
          </cell>
        </row>
      </sheetData>
      <sheetData sheetId="15">
        <row r="5">
          <cell r="C5">
            <v>106268.71917519812</v>
          </cell>
          <cell r="D5">
            <v>106268.71917519812</v>
          </cell>
          <cell r="E5">
            <v>106268.71917519812</v>
          </cell>
          <cell r="F5">
            <v>106268.71917519812</v>
          </cell>
          <cell r="G5">
            <v>106268.71917519812</v>
          </cell>
          <cell r="H5">
            <v>106268.71917519812</v>
          </cell>
          <cell r="I5">
            <v>106363.1855286685</v>
          </cell>
          <cell r="J5">
            <v>106363.1855286685</v>
          </cell>
          <cell r="K5">
            <v>108809.77330728213</v>
          </cell>
          <cell r="L5">
            <v>108841.40004328212</v>
          </cell>
          <cell r="M5">
            <v>108841.40004328212</v>
          </cell>
          <cell r="N5">
            <v>108841.40004328212</v>
          </cell>
        </row>
      </sheetData>
      <sheetData sheetId="16">
        <row r="6">
          <cell r="B6">
            <v>1582087.0377999998</v>
          </cell>
          <cell r="C6">
            <v>145228.58106666667</v>
          </cell>
          <cell r="D6">
            <v>139578.58106666667</v>
          </cell>
          <cell r="E6">
            <v>137508.58106666667</v>
          </cell>
          <cell r="F6">
            <v>136578.58106666667</v>
          </cell>
          <cell r="G6">
            <v>133906.03106666665</v>
          </cell>
          <cell r="H6">
            <v>138769.83106666667</v>
          </cell>
          <cell r="I6">
            <v>133639.83106666667</v>
          </cell>
          <cell r="J6">
            <v>133578.38606666666</v>
          </cell>
          <cell r="K6">
            <v>134508.38606666666</v>
          </cell>
          <cell r="L6">
            <v>134202.38606666666</v>
          </cell>
          <cell r="M6">
            <v>133424.78606666665</v>
          </cell>
          <cell r="N6">
            <v>81163.07606666666</v>
          </cell>
        </row>
      </sheetData>
      <sheetData sheetId="17">
        <row r="5">
          <cell r="C5">
            <v>183575.71837820119</v>
          </cell>
          <cell r="D5">
            <v>183575.71837820119</v>
          </cell>
          <cell r="E5">
            <v>183575.71837820119</v>
          </cell>
          <cell r="F5">
            <v>183575.71837820119</v>
          </cell>
          <cell r="G5">
            <v>183575.71837820119</v>
          </cell>
          <cell r="H5">
            <v>183575.71837820119</v>
          </cell>
          <cell r="I5">
            <v>183834.13130109472</v>
          </cell>
          <cell r="J5">
            <v>183834.13130109472</v>
          </cell>
          <cell r="K5">
            <v>188715.08139670797</v>
          </cell>
          <cell r="L5">
            <v>188964.19506870798</v>
          </cell>
          <cell r="M5">
            <v>188964.19506870798</v>
          </cell>
          <cell r="N5">
            <v>188964.19506870798</v>
          </cell>
        </row>
      </sheetData>
      <sheetData sheetId="18">
        <row r="6">
          <cell r="B6">
            <v>214231.26040000003</v>
          </cell>
          <cell r="C6">
            <v>20046.0867</v>
          </cell>
          <cell r="D6">
            <v>13094.1067</v>
          </cell>
          <cell r="E6">
            <v>13094.1067</v>
          </cell>
          <cell r="F6">
            <v>13244.1067</v>
          </cell>
          <cell r="G6">
            <v>13094.1067</v>
          </cell>
          <cell r="H6">
            <v>13094.1067</v>
          </cell>
          <cell r="I6">
            <v>13094.1067</v>
          </cell>
          <cell r="J6">
            <v>13094.1067</v>
          </cell>
          <cell r="K6">
            <v>13094.1067</v>
          </cell>
          <cell r="L6">
            <v>13094.1067</v>
          </cell>
          <cell r="M6">
            <v>38094.1067</v>
          </cell>
          <cell r="N6">
            <v>38094.1067</v>
          </cell>
        </row>
      </sheetData>
      <sheetData sheetId="20">
        <row r="6">
          <cell r="B6">
            <v>7259363.482733335</v>
          </cell>
          <cell r="C6">
            <v>510878.54578333336</v>
          </cell>
          <cell r="D6">
            <v>480350.83745000005</v>
          </cell>
          <cell r="E6">
            <v>472060.83745000005</v>
          </cell>
          <cell r="F6">
            <v>495560.83745000005</v>
          </cell>
          <cell r="G6">
            <v>472715.85307500005</v>
          </cell>
          <cell r="H6">
            <v>1111575.853075</v>
          </cell>
          <cell r="I6">
            <v>1134975.853075</v>
          </cell>
          <cell r="J6">
            <v>511575.85307500005</v>
          </cell>
          <cell r="K6">
            <v>511575.85307500005</v>
          </cell>
          <cell r="L6">
            <v>534975.853075</v>
          </cell>
          <cell r="M6">
            <v>511558.65307500004</v>
          </cell>
          <cell r="N6">
            <v>511558.65307500004</v>
          </cell>
        </row>
      </sheetData>
      <sheetData sheetId="21">
        <row r="5">
          <cell r="C5">
            <v>276612.9728385744</v>
          </cell>
          <cell r="D5">
            <v>280489.38313857437</v>
          </cell>
          <cell r="E5">
            <v>276612.9728385744</v>
          </cell>
          <cell r="F5">
            <v>276612.9728385744</v>
          </cell>
          <cell r="G5">
            <v>276612.9728385744</v>
          </cell>
          <cell r="H5">
            <v>276612.9728385744</v>
          </cell>
          <cell r="I5">
            <v>276612.9728385744</v>
          </cell>
          <cell r="J5">
            <v>276612.9728385744</v>
          </cell>
          <cell r="K5">
            <v>283972.7795857484</v>
          </cell>
          <cell r="L5">
            <v>284303.1069537484</v>
          </cell>
          <cell r="M5">
            <v>284303.1069537484</v>
          </cell>
          <cell r="N5">
            <v>284303.1069537484</v>
          </cell>
        </row>
      </sheetData>
      <sheetData sheetId="27">
        <row r="6">
          <cell r="B6">
            <v>10205000</v>
          </cell>
          <cell r="C6">
            <v>0</v>
          </cell>
          <cell r="D6">
            <v>3000000</v>
          </cell>
          <cell r="E6">
            <v>2600000</v>
          </cell>
          <cell r="F6">
            <v>4015000</v>
          </cell>
          <cell r="G6">
            <v>488000</v>
          </cell>
          <cell r="H6">
            <v>102000</v>
          </cell>
        </row>
      </sheetData>
      <sheetData sheetId="28">
        <row r="6">
          <cell r="B6">
            <v>87500</v>
          </cell>
          <cell r="C6">
            <v>87500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</sheetData>
      <sheetData sheetId="29">
        <row r="7">
          <cell r="B7">
            <v>230000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230000</v>
          </cell>
          <cell r="H7">
            <v>0</v>
          </cell>
        </row>
      </sheetData>
      <sheetData sheetId="30">
        <row r="6">
          <cell r="B6">
            <v>5626501.2871</v>
          </cell>
          <cell r="C6">
            <v>967116.9537166668</v>
          </cell>
          <cell r="D6">
            <v>494590.5557166666</v>
          </cell>
          <cell r="E6">
            <v>453581.5557166667</v>
          </cell>
          <cell r="F6">
            <v>393417.13571666664</v>
          </cell>
          <cell r="G6">
            <v>395350.0402166667</v>
          </cell>
          <cell r="H6">
            <v>382633.29621666664</v>
          </cell>
          <cell r="I6">
            <v>393637.79705</v>
          </cell>
          <cell r="J6">
            <v>383025.39255000005</v>
          </cell>
          <cell r="K6">
            <v>476895.39255000005</v>
          </cell>
          <cell r="L6">
            <v>474295.39255000005</v>
          </cell>
          <cell r="M6">
            <v>472995.39255000005</v>
          </cell>
          <cell r="N6">
            <v>338962.38255000004</v>
          </cell>
        </row>
      </sheetData>
      <sheetData sheetId="31">
        <row r="5">
          <cell r="C5">
            <v>1531268.0433557783</v>
          </cell>
          <cell r="D5">
            <v>1548979.0510557785</v>
          </cell>
          <cell r="E5">
            <v>1532488.4970557785</v>
          </cell>
          <cell r="F5">
            <v>1529979.0510557785</v>
          </cell>
          <cell r="G5">
            <v>1529979.0510557785</v>
          </cell>
          <cell r="H5">
            <v>1549957.8812557785</v>
          </cell>
          <cell r="I5">
            <v>1532912.0840290263</v>
          </cell>
          <cell r="J5">
            <v>1530054.4910290262</v>
          </cell>
          <cell r="K5">
            <v>1563153.4227291835</v>
          </cell>
          <cell r="L5">
            <v>1563535.5380491833</v>
          </cell>
          <cell r="M5">
            <v>1563535.5380491833</v>
          </cell>
          <cell r="N5">
            <v>1563535.5380491833</v>
          </cell>
        </row>
      </sheetData>
      <sheetData sheetId="32">
        <row r="6">
          <cell r="B6">
            <v>122635.58600000002</v>
          </cell>
          <cell r="C6">
            <v>10905.9655</v>
          </cell>
          <cell r="D6">
            <v>10185.9655</v>
          </cell>
          <cell r="E6">
            <v>8385.9655</v>
          </cell>
          <cell r="F6">
            <v>9105.9655</v>
          </cell>
          <cell r="G6">
            <v>15247.9655</v>
          </cell>
          <cell r="H6">
            <v>8385.9655</v>
          </cell>
          <cell r="I6">
            <v>10545.9655</v>
          </cell>
          <cell r="J6">
            <v>10905.9655</v>
          </cell>
          <cell r="K6">
            <v>8385.9655</v>
          </cell>
          <cell r="L6">
            <v>8745.9655</v>
          </cell>
          <cell r="M6">
            <v>14167.9655</v>
          </cell>
          <cell r="N6">
            <v>7665.9655</v>
          </cell>
        </row>
        <row r="7">
          <cell r="B7">
            <v>18184459.848080263</v>
          </cell>
          <cell r="C7">
            <v>1497790.4354545455</v>
          </cell>
          <cell r="D7">
            <v>1531624.179525692</v>
          </cell>
          <cell r="E7">
            <v>1482852.754853801</v>
          </cell>
          <cell r="F7">
            <v>1565137.8009090913</v>
          </cell>
          <cell r="G7">
            <v>1358040.0358479533</v>
          </cell>
          <cell r="H7">
            <v>1302733.0323333333</v>
          </cell>
          <cell r="I7">
            <v>1611807.597727273</v>
          </cell>
          <cell r="J7">
            <v>1442547.8933333333</v>
          </cell>
          <cell r="K7">
            <v>1699495.338095238</v>
          </cell>
          <cell r="L7">
            <v>1549497.1333333333</v>
          </cell>
          <cell r="M7">
            <v>1544636.1466666665</v>
          </cell>
          <cell r="N7">
            <v>1598297.5</v>
          </cell>
        </row>
        <row r="8">
          <cell r="B8">
            <v>569441.662</v>
          </cell>
          <cell r="C8">
            <v>57340.19</v>
          </cell>
          <cell r="D8">
            <v>45286.072</v>
          </cell>
          <cell r="E8">
            <v>45286.072</v>
          </cell>
          <cell r="F8">
            <v>46836.592000000004</v>
          </cell>
          <cell r="G8">
            <v>46836.592000000004</v>
          </cell>
          <cell r="H8">
            <v>46836.592000000004</v>
          </cell>
          <cell r="I8">
            <v>46836.592000000004</v>
          </cell>
          <cell r="J8">
            <v>46836.592000000004</v>
          </cell>
          <cell r="K8">
            <v>46836.592000000004</v>
          </cell>
          <cell r="L8">
            <v>46836.592000000004</v>
          </cell>
          <cell r="M8">
            <v>46836.592000000004</v>
          </cell>
          <cell r="N8">
            <v>46836.592000000004</v>
          </cell>
        </row>
        <row r="9">
          <cell r="B9">
            <v>324000</v>
          </cell>
          <cell r="C9">
            <v>51000</v>
          </cell>
          <cell r="D9">
            <v>51000</v>
          </cell>
          <cell r="E9">
            <v>51000</v>
          </cell>
          <cell r="F9">
            <v>51000</v>
          </cell>
          <cell r="G9">
            <v>51000</v>
          </cell>
          <cell r="H9">
            <v>51000</v>
          </cell>
          <cell r="I9">
            <v>3000</v>
          </cell>
          <cell r="J9">
            <v>3000</v>
          </cell>
          <cell r="K9">
            <v>3000</v>
          </cell>
          <cell r="L9">
            <v>3000</v>
          </cell>
          <cell r="M9">
            <v>3000</v>
          </cell>
          <cell r="N9">
            <v>3000</v>
          </cell>
        </row>
      </sheetData>
      <sheetData sheetId="33">
        <row r="5">
          <cell r="C5">
            <v>101006.27894003107</v>
          </cell>
          <cell r="D5">
            <v>101006.27894003107</v>
          </cell>
          <cell r="E5">
            <v>101006.27894003107</v>
          </cell>
          <cell r="F5">
            <v>101006.27894003107</v>
          </cell>
          <cell r="G5">
            <v>101006.27894003107</v>
          </cell>
          <cell r="H5">
            <v>101006.27894003107</v>
          </cell>
          <cell r="I5">
            <v>101006.27894003107</v>
          </cell>
          <cell r="J5">
            <v>101006.27894003107</v>
          </cell>
          <cell r="K5">
            <v>103732.7144399643</v>
          </cell>
          <cell r="L5">
            <v>103739.21156796429</v>
          </cell>
          <cell r="M5">
            <v>103739.21156796429</v>
          </cell>
          <cell r="N5">
            <v>103739.21156796429</v>
          </cell>
        </row>
      </sheetData>
      <sheetData sheetId="34">
        <row r="6">
          <cell r="C6">
            <v>148600.0028</v>
          </cell>
          <cell r="D6">
            <v>68100</v>
          </cell>
          <cell r="E6">
            <v>122100</v>
          </cell>
          <cell r="F6">
            <v>42100</v>
          </cell>
          <cell r="G6">
            <v>122100</v>
          </cell>
          <cell r="H6">
            <v>42100</v>
          </cell>
          <cell r="I6">
            <v>122600</v>
          </cell>
          <cell r="J6">
            <v>42100</v>
          </cell>
          <cell r="K6">
            <v>122100</v>
          </cell>
          <cell r="L6">
            <v>42100</v>
          </cell>
          <cell r="M6">
            <v>122100</v>
          </cell>
          <cell r="N6">
            <v>42100</v>
          </cell>
        </row>
        <row r="7">
          <cell r="B7">
            <v>61064628</v>
          </cell>
          <cell r="C7">
            <v>5926297</v>
          </cell>
          <cell r="D7">
            <v>5926298</v>
          </cell>
          <cell r="E7">
            <v>5926299</v>
          </cell>
          <cell r="F7">
            <v>5926300</v>
          </cell>
          <cell r="G7">
            <v>5926301</v>
          </cell>
          <cell r="H7">
            <v>5926302</v>
          </cell>
          <cell r="I7">
            <v>4251136</v>
          </cell>
          <cell r="J7">
            <v>4251137</v>
          </cell>
          <cell r="K7">
            <v>4251138</v>
          </cell>
          <cell r="L7">
            <v>4251139</v>
          </cell>
          <cell r="M7">
            <v>4251140</v>
          </cell>
          <cell r="N7">
            <v>4251141</v>
          </cell>
        </row>
      </sheetData>
      <sheetData sheetId="36">
        <row r="5">
          <cell r="C5">
            <v>365420.15101274586</v>
          </cell>
          <cell r="D5">
            <v>365420.15101274586</v>
          </cell>
          <cell r="E5">
            <v>365420.15101274586</v>
          </cell>
          <cell r="F5">
            <v>365420.15101274586</v>
          </cell>
          <cell r="G5">
            <v>365420.15101274586</v>
          </cell>
          <cell r="H5">
            <v>365420.15101274586</v>
          </cell>
          <cell r="I5">
            <v>365420.15101274586</v>
          </cell>
          <cell r="J5">
            <v>365420.15101274586</v>
          </cell>
          <cell r="K5">
            <v>373932.3071684875</v>
          </cell>
          <cell r="L5">
            <v>374027.6091524875</v>
          </cell>
          <cell r="M5">
            <v>374027.6091524875</v>
          </cell>
          <cell r="N5">
            <v>374027.6091524875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3"/>
  <sheetViews>
    <sheetView tabSelected="1" zoomScale="75" zoomScaleNormal="75" zoomScaleSheetLayoutView="75" zoomScalePageLayoutView="60" workbookViewId="0" topLeftCell="A1">
      <selection activeCell="C289" sqref="C289:F289"/>
    </sheetView>
  </sheetViews>
  <sheetFormatPr defaultColWidth="8.8515625" defaultRowHeight="15"/>
  <cols>
    <col min="1" max="1" width="9.421875" style="57" customWidth="1"/>
    <col min="2" max="2" width="7.140625" style="57" customWidth="1"/>
    <col min="3" max="3" width="37.28125" style="3" customWidth="1"/>
    <col min="4" max="4" width="20.140625" style="5" customWidth="1"/>
    <col min="5" max="5" width="20.28125" style="5" customWidth="1"/>
    <col min="6" max="6" width="20.140625" style="41" customWidth="1"/>
    <col min="7" max="11" width="20.140625" style="5" customWidth="1"/>
    <col min="12" max="12" width="14.8515625" style="5" bestFit="1" customWidth="1"/>
    <col min="13" max="13" width="28.140625" style="5" customWidth="1"/>
    <col min="14" max="14" width="25.8515625" style="5" bestFit="1" customWidth="1"/>
    <col min="15" max="15" width="23.57421875" style="5" bestFit="1" customWidth="1"/>
    <col min="16" max="16" width="22.140625" style="5" bestFit="1" customWidth="1"/>
    <col min="17" max="17" width="21.7109375" style="5" bestFit="1" customWidth="1"/>
    <col min="18" max="18" width="26.7109375" style="5" customWidth="1"/>
    <col min="19" max="20" width="24.28125" style="5" bestFit="1" customWidth="1"/>
    <col min="21" max="21" width="21.8515625" style="5" bestFit="1" customWidth="1"/>
    <col min="22" max="22" width="23.421875" style="5" bestFit="1" customWidth="1"/>
    <col min="23" max="23" width="18.00390625" style="5" bestFit="1" customWidth="1"/>
    <col min="24" max="16384" width="8.8515625" style="5" customWidth="1"/>
  </cols>
  <sheetData>
    <row r="1" spans="1:11" s="77" customFormat="1" ht="31.5" customHeight="1">
      <c r="A1" s="225" t="s">
        <v>166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77" customFormat="1" ht="30.7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3:6" ht="24.75" customHeight="1" thickBot="1">
      <c r="C3" s="2"/>
      <c r="D3" s="6"/>
      <c r="E3" s="6"/>
      <c r="F3" s="138"/>
    </row>
    <row r="4" spans="1:11" ht="18" customHeight="1" thickBot="1" thickTop="1">
      <c r="A4" s="220" t="s">
        <v>0</v>
      </c>
      <c r="B4" s="220"/>
      <c r="C4" s="220"/>
      <c r="D4" s="216" t="s">
        <v>23</v>
      </c>
      <c r="E4" s="216"/>
      <c r="F4" s="216"/>
      <c r="G4" s="216"/>
      <c r="H4" s="216"/>
      <c r="I4" s="216"/>
      <c r="J4" s="216"/>
      <c r="K4" s="216"/>
    </row>
    <row r="5" spans="1:14" ht="18" customHeight="1" thickBot="1" thickTop="1">
      <c r="A5" s="220"/>
      <c r="B5" s="220"/>
      <c r="C5" s="220"/>
      <c r="D5" s="217" t="s">
        <v>106</v>
      </c>
      <c r="E5" s="217"/>
      <c r="F5" s="217"/>
      <c r="G5" s="217"/>
      <c r="H5" s="218" t="s">
        <v>107</v>
      </c>
      <c r="I5" s="218"/>
      <c r="J5" s="218"/>
      <c r="K5" s="218"/>
      <c r="M5" s="167"/>
      <c r="N5" s="168"/>
    </row>
    <row r="6" spans="1:23" ht="44.25" customHeight="1" thickBot="1" thickTop="1">
      <c r="A6" s="220"/>
      <c r="B6" s="220"/>
      <c r="C6" s="220"/>
      <c r="D6" s="136" t="s">
        <v>163</v>
      </c>
      <c r="E6" s="136" t="s">
        <v>157</v>
      </c>
      <c r="F6" s="136" t="s">
        <v>27</v>
      </c>
      <c r="G6" s="136" t="s">
        <v>30</v>
      </c>
      <c r="H6" s="136" t="s">
        <v>163</v>
      </c>
      <c r="I6" s="136" t="s">
        <v>157</v>
      </c>
      <c r="J6" s="136" t="s">
        <v>27</v>
      </c>
      <c r="K6" s="136" t="s">
        <v>30</v>
      </c>
      <c r="M6"/>
      <c r="N6"/>
      <c r="O6"/>
      <c r="P6"/>
      <c r="Q6"/>
      <c r="R6"/>
      <c r="S6"/>
      <c r="T6"/>
      <c r="U6"/>
      <c r="V6"/>
      <c r="W6"/>
    </row>
    <row r="7" spans="1:23" ht="33" customHeight="1" thickBot="1" thickTop="1">
      <c r="A7" s="220"/>
      <c r="B7" s="220"/>
      <c r="C7" s="220"/>
      <c r="D7" s="152">
        <f>D8+D12+D14+D15+D16+D17+D21+D29+D31+D36+D37+D38+D39+D40+D44+D48+D28</f>
        <v>579526.35</v>
      </c>
      <c r="E7" s="152">
        <f>E8+E12+E14+E15+E16+E17+E21+E29+E31+E36+E37+E38+E39+E40+E44+E48+E28</f>
        <v>6961666.850000001</v>
      </c>
      <c r="F7" s="152">
        <f>F8+F12+F14+F15+F16+F17+F21+F28+F29+F31+F36+F37+F40+F48+F49</f>
        <v>3065068.02</v>
      </c>
      <c r="G7" s="152">
        <f>G8+G12+G14+G15+G16+G17+G21+G28+G29+G31+G36+G37+G40+G48+G49</f>
        <v>347317</v>
      </c>
      <c r="H7" s="153">
        <f>H8+H12+H14+H15+H16+H17+H21+H29+H31+H36+H37+H38+H39+H40+H44+H48+H28</f>
        <v>3586709.31</v>
      </c>
      <c r="I7" s="153">
        <f>I8+I12+I14+I15+I16+I17+I21+I29+I31+I36+I37+I38+I39+I40+I44+I48+I28</f>
        <v>6857388</v>
      </c>
      <c r="J7" s="153">
        <f>J8+J12+J14+J15+J16+J17+J21+J28+J29+J31+J36+J37+J40+J48+J49</f>
        <v>3075066.4699999997</v>
      </c>
      <c r="K7" s="153">
        <f>K8+K12+K14+K15+K16+K17+K21+K29+K31+K36+K37+K38+K39+K40+K44+K48+K28</f>
        <v>306730</v>
      </c>
      <c r="M7"/>
      <c r="N7"/>
      <c r="O7"/>
      <c r="P7"/>
      <c r="Q7"/>
      <c r="R7"/>
      <c r="S7"/>
      <c r="T7"/>
      <c r="U7"/>
      <c r="V7"/>
      <c r="W7"/>
    </row>
    <row r="8" spans="1:23" ht="49.5" customHeight="1" thickBot="1" thickTop="1">
      <c r="A8" s="219" t="s">
        <v>7</v>
      </c>
      <c r="B8" s="219" t="s">
        <v>118</v>
      </c>
      <c r="C8" s="154" t="s">
        <v>128</v>
      </c>
      <c r="D8" s="205">
        <v>61536.46</v>
      </c>
      <c r="E8" s="205">
        <v>308056.48</v>
      </c>
      <c r="F8" s="205">
        <v>392315.96</v>
      </c>
      <c r="G8" s="205"/>
      <c r="H8" s="198">
        <v>61536.46</v>
      </c>
      <c r="I8" s="198">
        <v>331157.09</v>
      </c>
      <c r="J8" s="198">
        <v>392315.96</v>
      </c>
      <c r="K8" s="198"/>
      <c r="L8" s="12"/>
      <c r="M8"/>
      <c r="N8"/>
      <c r="O8"/>
      <c r="P8"/>
      <c r="Q8"/>
      <c r="R8"/>
      <c r="S8"/>
      <c r="T8"/>
      <c r="U8"/>
      <c r="V8"/>
      <c r="W8"/>
    </row>
    <row r="9" spans="1:23" ht="49.5" customHeight="1" thickBot="1" thickTop="1">
      <c r="A9" s="219"/>
      <c r="B9" s="219"/>
      <c r="C9" s="154" t="s">
        <v>129</v>
      </c>
      <c r="D9" s="205"/>
      <c r="E9" s="205"/>
      <c r="F9" s="205"/>
      <c r="G9" s="205"/>
      <c r="H9" s="198"/>
      <c r="I9" s="198"/>
      <c r="J9" s="198"/>
      <c r="K9" s="198"/>
      <c r="L9" s="12"/>
      <c r="M9"/>
      <c r="N9"/>
      <c r="O9"/>
      <c r="P9"/>
      <c r="Q9"/>
      <c r="R9"/>
      <c r="S9"/>
      <c r="T9"/>
      <c r="U9"/>
      <c r="V9"/>
      <c r="W9"/>
    </row>
    <row r="10" spans="1:23" ht="49.5" customHeight="1" thickBot="1" thickTop="1">
      <c r="A10" s="219"/>
      <c r="B10" s="219"/>
      <c r="C10" s="154" t="s">
        <v>130</v>
      </c>
      <c r="D10" s="205"/>
      <c r="E10" s="205"/>
      <c r="F10" s="205"/>
      <c r="G10" s="205"/>
      <c r="H10" s="198"/>
      <c r="I10" s="198"/>
      <c r="J10" s="198"/>
      <c r="K10" s="198"/>
      <c r="L10" s="12"/>
      <c r="M10"/>
      <c r="N10"/>
      <c r="O10"/>
      <c r="P10"/>
      <c r="Q10"/>
      <c r="R10"/>
      <c r="S10"/>
      <c r="T10"/>
      <c r="U10"/>
      <c r="V10"/>
      <c r="W10"/>
    </row>
    <row r="11" spans="1:23" ht="49.5" customHeight="1" thickBot="1" thickTop="1">
      <c r="A11" s="219"/>
      <c r="B11" s="219"/>
      <c r="C11" s="155" t="s">
        <v>131</v>
      </c>
      <c r="D11" s="205"/>
      <c r="E11" s="205"/>
      <c r="F11" s="205"/>
      <c r="G11" s="205"/>
      <c r="H11" s="198"/>
      <c r="I11" s="198"/>
      <c r="J11" s="198"/>
      <c r="K11" s="198"/>
      <c r="L11" s="12"/>
      <c r="M11"/>
      <c r="N11"/>
      <c r="O11"/>
      <c r="P11"/>
      <c r="Q11"/>
      <c r="R11"/>
      <c r="S11"/>
      <c r="T11"/>
      <c r="U11"/>
      <c r="V11"/>
      <c r="W11"/>
    </row>
    <row r="12" spans="1:23" ht="49.5" customHeight="1" thickBot="1" thickTop="1">
      <c r="A12" s="219"/>
      <c r="B12" s="219" t="s">
        <v>119</v>
      </c>
      <c r="C12" s="156" t="s">
        <v>129</v>
      </c>
      <c r="D12" s="205">
        <v>3680.24</v>
      </c>
      <c r="E12" s="205">
        <v>86649.76</v>
      </c>
      <c r="F12" s="205">
        <v>129105.79</v>
      </c>
      <c r="G12" s="205"/>
      <c r="H12" s="198">
        <v>3680.24</v>
      </c>
      <c r="I12" s="198">
        <v>74964.62</v>
      </c>
      <c r="J12" s="198">
        <v>129105.79</v>
      </c>
      <c r="K12" s="198"/>
      <c r="L12" s="228"/>
      <c r="M12"/>
      <c r="N12"/>
      <c r="O12"/>
      <c r="P12"/>
      <c r="Q12"/>
      <c r="R12"/>
      <c r="S12"/>
      <c r="T12"/>
      <c r="U12"/>
      <c r="V12"/>
      <c r="W12"/>
    </row>
    <row r="13" spans="1:23" ht="49.5" customHeight="1" thickBot="1" thickTop="1">
      <c r="A13" s="219"/>
      <c r="B13" s="219"/>
      <c r="C13" s="155" t="s">
        <v>131</v>
      </c>
      <c r="D13" s="205"/>
      <c r="E13" s="205"/>
      <c r="F13" s="205"/>
      <c r="G13" s="205"/>
      <c r="H13" s="198"/>
      <c r="I13" s="198"/>
      <c r="J13" s="198"/>
      <c r="K13" s="198"/>
      <c r="L13" s="228"/>
      <c r="M13"/>
      <c r="N13"/>
      <c r="O13"/>
      <c r="P13"/>
      <c r="Q13"/>
      <c r="R13"/>
      <c r="S13"/>
      <c r="T13"/>
      <c r="U13"/>
      <c r="V13"/>
      <c r="W13"/>
    </row>
    <row r="14" spans="1:23" ht="49.5" customHeight="1" thickBot="1" thickTop="1">
      <c r="A14" s="219"/>
      <c r="B14" s="159" t="s">
        <v>126</v>
      </c>
      <c r="C14" s="155" t="s">
        <v>131</v>
      </c>
      <c r="D14" s="145">
        <v>4596.77</v>
      </c>
      <c r="E14" s="196">
        <v>60358.75</v>
      </c>
      <c r="F14" s="196">
        <v>66742.8</v>
      </c>
      <c r="G14" s="145"/>
      <c r="H14" s="146">
        <v>4596.77</v>
      </c>
      <c r="I14" s="146">
        <v>48931.34</v>
      </c>
      <c r="J14" s="146">
        <v>66742.8</v>
      </c>
      <c r="K14" s="146"/>
      <c r="L14" s="12"/>
      <c r="M14"/>
      <c r="N14"/>
      <c r="O14"/>
      <c r="P14"/>
      <c r="Q14"/>
      <c r="R14"/>
      <c r="S14"/>
      <c r="T14"/>
      <c r="U14"/>
      <c r="V14"/>
      <c r="W14"/>
    </row>
    <row r="15" spans="1:23" ht="49.5" customHeight="1" thickBot="1" thickTop="1">
      <c r="A15" s="219"/>
      <c r="B15" s="159" t="s">
        <v>127</v>
      </c>
      <c r="C15" s="155" t="s">
        <v>131</v>
      </c>
      <c r="D15" s="145">
        <v>1026.59</v>
      </c>
      <c r="E15" s="196">
        <v>48894.72</v>
      </c>
      <c r="F15" s="196">
        <v>71460.17</v>
      </c>
      <c r="G15" s="145"/>
      <c r="H15" s="146">
        <v>1026.59</v>
      </c>
      <c r="I15" s="146">
        <v>46581.69</v>
      </c>
      <c r="J15" s="146">
        <v>71460.17</v>
      </c>
      <c r="K15" s="146"/>
      <c r="L15" s="12"/>
      <c r="M15"/>
      <c r="N15"/>
      <c r="O15"/>
      <c r="P15"/>
      <c r="Q15"/>
      <c r="R15"/>
      <c r="S15"/>
      <c r="T15"/>
      <c r="U15"/>
      <c r="V15"/>
      <c r="W15"/>
    </row>
    <row r="16" spans="1:23" ht="69.75" customHeight="1" thickBot="1" thickTop="1">
      <c r="A16" s="219" t="s">
        <v>105</v>
      </c>
      <c r="B16" s="164" t="s">
        <v>120</v>
      </c>
      <c r="C16" s="166" t="s">
        <v>132</v>
      </c>
      <c r="D16" s="145">
        <v>10398.53</v>
      </c>
      <c r="E16" s="196">
        <v>42559.1</v>
      </c>
      <c r="F16" s="196">
        <v>77234.3</v>
      </c>
      <c r="G16" s="145"/>
      <c r="H16" s="146">
        <v>1599.53</v>
      </c>
      <c r="I16" s="146">
        <v>45869.55</v>
      </c>
      <c r="J16" s="146">
        <v>77234.3</v>
      </c>
      <c r="K16" s="146"/>
      <c r="L16" s="12"/>
      <c r="M16"/>
      <c r="N16"/>
      <c r="O16"/>
      <c r="P16"/>
      <c r="Q16"/>
      <c r="R16"/>
      <c r="S16"/>
      <c r="T16"/>
      <c r="U16"/>
      <c r="V16"/>
      <c r="W16"/>
    </row>
    <row r="17" spans="1:23" ht="69.75" customHeight="1" thickBot="1" thickTop="1">
      <c r="A17" s="219"/>
      <c r="B17" s="169" t="s">
        <v>6</v>
      </c>
      <c r="C17" s="154" t="s">
        <v>133</v>
      </c>
      <c r="D17" s="171">
        <v>6103.97</v>
      </c>
      <c r="E17" s="193">
        <v>34466.68</v>
      </c>
      <c r="F17" s="193">
        <v>67718.06</v>
      </c>
      <c r="G17" s="171"/>
      <c r="H17" s="170">
        <v>6103.97</v>
      </c>
      <c r="I17" s="194">
        <v>28291.35</v>
      </c>
      <c r="J17" s="194">
        <v>67718.06</v>
      </c>
      <c r="K17" s="170"/>
      <c r="L17" s="172"/>
      <c r="M17"/>
      <c r="N17"/>
      <c r="O17"/>
      <c r="P17"/>
      <c r="Q17"/>
      <c r="R17"/>
      <c r="S17"/>
      <c r="T17"/>
      <c r="U17"/>
      <c r="V17"/>
      <c r="W17"/>
    </row>
    <row r="18" spans="1:23" ht="18" customHeight="1" thickBot="1" thickTop="1">
      <c r="A18" s="215" t="s">
        <v>0</v>
      </c>
      <c r="B18" s="215"/>
      <c r="C18" s="215"/>
      <c r="D18" s="216" t="s">
        <v>23</v>
      </c>
      <c r="E18" s="216"/>
      <c r="F18" s="216"/>
      <c r="G18" s="216"/>
      <c r="H18" s="216"/>
      <c r="I18" s="216"/>
      <c r="J18" s="216"/>
      <c r="K18" s="216"/>
      <c r="M18"/>
      <c r="N18"/>
      <c r="O18"/>
      <c r="P18"/>
      <c r="Q18"/>
      <c r="R18"/>
      <c r="S18"/>
      <c r="T18"/>
      <c r="U18"/>
      <c r="V18"/>
      <c r="W18"/>
    </row>
    <row r="19" spans="1:23" ht="18" customHeight="1" thickBot="1" thickTop="1">
      <c r="A19" s="215"/>
      <c r="B19" s="215"/>
      <c r="C19" s="215"/>
      <c r="D19" s="217" t="s">
        <v>106</v>
      </c>
      <c r="E19" s="217"/>
      <c r="F19" s="217"/>
      <c r="G19" s="217"/>
      <c r="H19" s="218" t="s">
        <v>107</v>
      </c>
      <c r="I19" s="218"/>
      <c r="J19" s="218"/>
      <c r="K19" s="218"/>
      <c r="M19"/>
      <c r="N19"/>
      <c r="O19"/>
      <c r="P19"/>
      <c r="Q19"/>
      <c r="R19"/>
      <c r="S19"/>
      <c r="T19"/>
      <c r="U19"/>
      <c r="V19"/>
      <c r="W19"/>
    </row>
    <row r="20" spans="1:23" ht="44.25" customHeight="1" thickBot="1" thickTop="1">
      <c r="A20" s="215"/>
      <c r="B20" s="215"/>
      <c r="C20" s="215"/>
      <c r="D20" s="136" t="s">
        <v>163</v>
      </c>
      <c r="E20" s="136" t="s">
        <v>157</v>
      </c>
      <c r="F20" s="136" t="s">
        <v>27</v>
      </c>
      <c r="G20" s="136" t="s">
        <v>30</v>
      </c>
      <c r="H20" s="136" t="s">
        <v>163</v>
      </c>
      <c r="I20" s="136" t="s">
        <v>157</v>
      </c>
      <c r="J20" s="136" t="s">
        <v>27</v>
      </c>
      <c r="K20" s="136" t="s">
        <v>30</v>
      </c>
      <c r="M20"/>
      <c r="N20"/>
      <c r="O20"/>
      <c r="P20"/>
      <c r="Q20"/>
      <c r="R20"/>
      <c r="S20"/>
      <c r="T20"/>
      <c r="U20"/>
      <c r="V20"/>
      <c r="W20"/>
    </row>
    <row r="21" spans="1:23" ht="49.5" customHeight="1" thickBot="1" thickTop="1">
      <c r="A21" s="232" t="s">
        <v>162</v>
      </c>
      <c r="B21" s="221" t="s">
        <v>151</v>
      </c>
      <c r="C21" s="156" t="s">
        <v>134</v>
      </c>
      <c r="D21" s="205">
        <v>11500</v>
      </c>
      <c r="E21" s="205">
        <v>573410.5</v>
      </c>
      <c r="F21" s="205">
        <v>208990.05</v>
      </c>
      <c r="G21" s="205"/>
      <c r="H21" s="198">
        <v>9550</v>
      </c>
      <c r="I21" s="198">
        <v>670934.2</v>
      </c>
      <c r="J21" s="198">
        <v>208990.05</v>
      </c>
      <c r="K21" s="198"/>
      <c r="L21" s="228"/>
      <c r="M21"/>
      <c r="N21"/>
      <c r="O21"/>
      <c r="P21"/>
      <c r="Q21"/>
      <c r="R21"/>
      <c r="S21"/>
      <c r="T21"/>
      <c r="U21"/>
      <c r="V21"/>
      <c r="W21"/>
    </row>
    <row r="22" spans="1:23" ht="69.75" customHeight="1" thickBot="1" thickTop="1">
      <c r="A22" s="232"/>
      <c r="B22" s="222"/>
      <c r="C22" s="156" t="s">
        <v>135</v>
      </c>
      <c r="D22" s="205"/>
      <c r="E22" s="205"/>
      <c r="F22" s="205"/>
      <c r="G22" s="205"/>
      <c r="H22" s="198"/>
      <c r="I22" s="198"/>
      <c r="J22" s="198"/>
      <c r="K22" s="198"/>
      <c r="L22" s="228"/>
      <c r="M22"/>
      <c r="N22"/>
      <c r="O22"/>
      <c r="P22"/>
      <c r="Q22"/>
      <c r="R22"/>
      <c r="S22"/>
      <c r="T22"/>
      <c r="U22"/>
      <c r="V22"/>
      <c r="W22"/>
    </row>
    <row r="23" spans="1:23" ht="49.5" customHeight="1" thickBot="1" thickTop="1">
      <c r="A23" s="232"/>
      <c r="B23" s="222"/>
      <c r="C23" s="157" t="s">
        <v>136</v>
      </c>
      <c r="D23" s="205"/>
      <c r="E23" s="205"/>
      <c r="F23" s="205"/>
      <c r="G23" s="205"/>
      <c r="H23" s="198"/>
      <c r="I23" s="198"/>
      <c r="J23" s="198"/>
      <c r="K23" s="198"/>
      <c r="L23" s="228"/>
      <c r="M23"/>
      <c r="N23"/>
      <c r="O23"/>
      <c r="P23"/>
      <c r="Q23"/>
      <c r="R23"/>
      <c r="S23"/>
      <c r="T23"/>
      <c r="U23"/>
      <c r="V23"/>
      <c r="W23"/>
    </row>
    <row r="24" spans="1:23" ht="49.5" customHeight="1" thickBot="1" thickTop="1">
      <c r="A24" s="232"/>
      <c r="B24" s="223"/>
      <c r="C24" s="156" t="s">
        <v>137</v>
      </c>
      <c r="D24" s="205"/>
      <c r="E24" s="205"/>
      <c r="F24" s="205"/>
      <c r="G24" s="205"/>
      <c r="H24" s="198"/>
      <c r="I24" s="198"/>
      <c r="J24" s="198"/>
      <c r="K24" s="198"/>
      <c r="L24" s="228"/>
      <c r="M24"/>
      <c r="N24"/>
      <c r="O24"/>
      <c r="P24"/>
      <c r="Q24"/>
      <c r="R24"/>
      <c r="S24"/>
      <c r="T24"/>
      <c r="U24"/>
      <c r="V24"/>
      <c r="W24"/>
    </row>
    <row r="25" spans="1:23" ht="49.5" customHeight="1" thickBot="1" thickTop="1">
      <c r="A25" s="219" t="s">
        <v>47</v>
      </c>
      <c r="B25" s="210" t="s">
        <v>123</v>
      </c>
      <c r="C25" s="156" t="s">
        <v>138</v>
      </c>
      <c r="D25" s="205"/>
      <c r="E25" s="205"/>
      <c r="F25" s="205"/>
      <c r="G25" s="205"/>
      <c r="H25" s="198"/>
      <c r="I25" s="198"/>
      <c r="J25" s="198"/>
      <c r="K25" s="198"/>
      <c r="L25" s="228"/>
      <c r="M25"/>
      <c r="N25"/>
      <c r="O25"/>
      <c r="P25"/>
      <c r="Q25"/>
      <c r="R25"/>
      <c r="S25"/>
      <c r="T25"/>
      <c r="U25"/>
      <c r="V25"/>
      <c r="W25"/>
    </row>
    <row r="26" spans="1:23" ht="49.5" customHeight="1" thickBot="1" thickTop="1">
      <c r="A26" s="219"/>
      <c r="B26" s="210"/>
      <c r="C26" s="156" t="s">
        <v>139</v>
      </c>
      <c r="D26" s="205"/>
      <c r="E26" s="205"/>
      <c r="F26" s="205"/>
      <c r="G26" s="205"/>
      <c r="H26" s="198"/>
      <c r="I26" s="198"/>
      <c r="J26" s="198"/>
      <c r="K26" s="198"/>
      <c r="L26" s="228"/>
      <c r="M26"/>
      <c r="N26"/>
      <c r="O26"/>
      <c r="P26"/>
      <c r="Q26"/>
      <c r="R26"/>
      <c r="S26"/>
      <c r="T26"/>
      <c r="U26"/>
      <c r="V26"/>
      <c r="W26"/>
    </row>
    <row r="27" spans="1:23" ht="49.5" customHeight="1" thickBot="1" thickTop="1">
      <c r="A27" s="219"/>
      <c r="B27" s="210"/>
      <c r="C27" s="156" t="s">
        <v>140</v>
      </c>
      <c r="D27" s="205"/>
      <c r="E27" s="205"/>
      <c r="F27" s="205"/>
      <c r="G27" s="205"/>
      <c r="H27" s="198"/>
      <c r="I27" s="198"/>
      <c r="J27" s="198"/>
      <c r="K27" s="198"/>
      <c r="L27" s="228"/>
      <c r="M27"/>
      <c r="N27"/>
      <c r="O27"/>
      <c r="P27"/>
      <c r="Q27"/>
      <c r="R27"/>
      <c r="S27"/>
      <c r="T27"/>
      <c r="U27"/>
      <c r="V27"/>
      <c r="W27"/>
    </row>
    <row r="28" spans="1:23" ht="89.25" customHeight="1" thickBot="1" thickTop="1">
      <c r="A28" s="219"/>
      <c r="B28" s="190" t="s">
        <v>160</v>
      </c>
      <c r="C28" s="156" t="s">
        <v>156</v>
      </c>
      <c r="D28" s="189">
        <v>8950</v>
      </c>
      <c r="E28" s="193">
        <v>304560.74</v>
      </c>
      <c r="F28" s="193">
        <v>96166.8</v>
      </c>
      <c r="G28" s="189">
        <v>347317</v>
      </c>
      <c r="H28" s="191">
        <v>8950</v>
      </c>
      <c r="I28" s="194">
        <v>154560.74</v>
      </c>
      <c r="J28" s="191">
        <v>96166.8</v>
      </c>
      <c r="K28" s="191">
        <v>306730</v>
      </c>
      <c r="L28" s="228"/>
      <c r="M28"/>
      <c r="N28"/>
      <c r="O28"/>
      <c r="P28"/>
      <c r="Q28"/>
      <c r="R28"/>
      <c r="S28"/>
      <c r="T28"/>
      <c r="U28"/>
      <c r="V28"/>
      <c r="W28"/>
    </row>
    <row r="29" spans="1:23" ht="49.5" customHeight="1" thickBot="1" thickTop="1">
      <c r="A29" s="219"/>
      <c r="B29" s="226" t="s">
        <v>161</v>
      </c>
      <c r="C29" s="156" t="s">
        <v>158</v>
      </c>
      <c r="D29" s="205">
        <v>51200</v>
      </c>
      <c r="E29" s="205"/>
      <c r="F29" s="205"/>
      <c r="G29" s="205"/>
      <c r="H29" s="198">
        <v>14500</v>
      </c>
      <c r="I29" s="198"/>
      <c r="J29" s="198">
        <v>10000</v>
      </c>
      <c r="K29" s="198"/>
      <c r="L29" s="228"/>
      <c r="M29"/>
      <c r="N29"/>
      <c r="O29"/>
      <c r="P29"/>
      <c r="Q29"/>
      <c r="R29"/>
      <c r="S29"/>
      <c r="T29"/>
      <c r="U29"/>
      <c r="V29"/>
      <c r="W29"/>
    </row>
    <row r="30" spans="1:23" ht="49.5" customHeight="1" thickBot="1" thickTop="1">
      <c r="A30" s="219"/>
      <c r="B30" s="227"/>
      <c r="C30" s="156" t="s">
        <v>159</v>
      </c>
      <c r="D30" s="205"/>
      <c r="E30" s="205"/>
      <c r="F30" s="205"/>
      <c r="G30" s="205"/>
      <c r="H30" s="198"/>
      <c r="I30" s="198"/>
      <c r="J30" s="198"/>
      <c r="K30" s="198"/>
      <c r="L30" s="228"/>
      <c r="M30"/>
      <c r="N30"/>
      <c r="O30"/>
      <c r="P30"/>
      <c r="Q30"/>
      <c r="R30"/>
      <c r="S30"/>
      <c r="T30"/>
      <c r="U30"/>
      <c r="V30"/>
      <c r="W30"/>
    </row>
    <row r="31" spans="1:23" ht="49.5" customHeight="1" thickBot="1" thickTop="1">
      <c r="A31" s="219"/>
      <c r="B31" s="210" t="s">
        <v>155</v>
      </c>
      <c r="C31" s="155" t="s">
        <v>46</v>
      </c>
      <c r="D31" s="205"/>
      <c r="E31" s="205"/>
      <c r="F31" s="205"/>
      <c r="G31" s="205"/>
      <c r="H31" s="198">
        <v>3000000</v>
      </c>
      <c r="I31" s="198"/>
      <c r="J31" s="198"/>
      <c r="K31" s="198"/>
      <c r="L31" s="228"/>
      <c r="M31"/>
      <c r="N31"/>
      <c r="O31"/>
      <c r="P31"/>
      <c r="Q31"/>
      <c r="R31"/>
      <c r="S31"/>
      <c r="T31"/>
      <c r="U31"/>
      <c r="V31"/>
      <c r="W31"/>
    </row>
    <row r="32" spans="1:23" ht="49.5" customHeight="1" thickBot="1" thickTop="1">
      <c r="A32" s="219"/>
      <c r="B32" s="210"/>
      <c r="C32" s="154" t="s">
        <v>141</v>
      </c>
      <c r="D32" s="205"/>
      <c r="E32" s="205"/>
      <c r="F32" s="205"/>
      <c r="G32" s="205"/>
      <c r="H32" s="198"/>
      <c r="I32" s="198"/>
      <c r="J32" s="198"/>
      <c r="K32" s="198"/>
      <c r="L32" s="228"/>
      <c r="M32"/>
      <c r="N32"/>
      <c r="O32"/>
      <c r="P32"/>
      <c r="Q32"/>
      <c r="R32"/>
      <c r="S32"/>
      <c r="T32"/>
      <c r="U32"/>
      <c r="V32"/>
      <c r="W32"/>
    </row>
    <row r="33" spans="1:23" ht="18" customHeight="1" thickBot="1" thickTop="1">
      <c r="A33" s="215" t="s">
        <v>0</v>
      </c>
      <c r="B33" s="215"/>
      <c r="C33" s="215"/>
      <c r="D33" s="216" t="s">
        <v>23</v>
      </c>
      <c r="E33" s="216"/>
      <c r="F33" s="216"/>
      <c r="G33" s="216"/>
      <c r="H33" s="216"/>
      <c r="I33" s="216"/>
      <c r="J33" s="216"/>
      <c r="K33" s="216"/>
      <c r="M33"/>
      <c r="N33"/>
      <c r="O33"/>
      <c r="P33"/>
      <c r="Q33"/>
      <c r="R33"/>
      <c r="S33"/>
      <c r="T33"/>
      <c r="U33"/>
      <c r="V33"/>
      <c r="W33"/>
    </row>
    <row r="34" spans="1:23" ht="18" customHeight="1" thickBot="1" thickTop="1">
      <c r="A34" s="215"/>
      <c r="B34" s="215"/>
      <c r="C34" s="215"/>
      <c r="D34" s="217" t="s">
        <v>106</v>
      </c>
      <c r="E34" s="217"/>
      <c r="F34" s="217"/>
      <c r="G34" s="217"/>
      <c r="H34" s="218" t="s">
        <v>107</v>
      </c>
      <c r="I34" s="218"/>
      <c r="J34" s="218"/>
      <c r="K34" s="218"/>
      <c r="M34"/>
      <c r="N34"/>
      <c r="O34"/>
      <c r="P34"/>
      <c r="Q34"/>
      <c r="R34"/>
      <c r="S34"/>
      <c r="T34"/>
      <c r="U34"/>
      <c r="V34"/>
      <c r="W34"/>
    </row>
    <row r="35" spans="1:23" ht="44.25" customHeight="1" thickBot="1" thickTop="1">
      <c r="A35" s="215"/>
      <c r="B35" s="215"/>
      <c r="C35" s="215"/>
      <c r="D35" s="136" t="s">
        <v>163</v>
      </c>
      <c r="E35" s="136" t="s">
        <v>157</v>
      </c>
      <c r="F35" s="136" t="s">
        <v>27</v>
      </c>
      <c r="G35" s="136" t="s">
        <v>30</v>
      </c>
      <c r="H35" s="136" t="s">
        <v>163</v>
      </c>
      <c r="I35" s="136" t="s">
        <v>157</v>
      </c>
      <c r="J35" s="136" t="s">
        <v>27</v>
      </c>
      <c r="K35" s="136" t="s">
        <v>30</v>
      </c>
      <c r="M35"/>
      <c r="N35"/>
      <c r="O35"/>
      <c r="P35"/>
      <c r="Q35"/>
      <c r="R35"/>
      <c r="S35"/>
      <c r="T35"/>
      <c r="U35"/>
      <c r="V35"/>
      <c r="W35"/>
    </row>
    <row r="36" spans="1:23" ht="63" customHeight="1" thickBot="1" thickTop="1">
      <c r="A36" s="210" t="s">
        <v>122</v>
      </c>
      <c r="B36" s="160" t="s">
        <v>124</v>
      </c>
      <c r="C36" s="154" t="s">
        <v>142</v>
      </c>
      <c r="D36" s="145">
        <v>9565.6</v>
      </c>
      <c r="E36" s="196">
        <v>127522.28</v>
      </c>
      <c r="F36" s="145">
        <v>158993.66</v>
      </c>
      <c r="G36" s="145"/>
      <c r="H36" s="146">
        <v>7074.6</v>
      </c>
      <c r="I36" s="146">
        <v>125988.73</v>
      </c>
      <c r="J36" s="146">
        <v>158993.66</v>
      </c>
      <c r="K36" s="146"/>
      <c r="L36" s="12"/>
      <c r="M36"/>
      <c r="N36"/>
      <c r="O36"/>
      <c r="P36"/>
      <c r="Q36"/>
      <c r="R36"/>
      <c r="S36"/>
      <c r="T36"/>
      <c r="U36"/>
      <c r="V36"/>
      <c r="W36"/>
    </row>
    <row r="37" spans="1:23" ht="51" customHeight="1" thickBot="1" thickTop="1">
      <c r="A37" s="210"/>
      <c r="B37" s="210" t="s">
        <v>154</v>
      </c>
      <c r="C37" s="154" t="s">
        <v>165</v>
      </c>
      <c r="D37" s="145"/>
      <c r="E37" s="196">
        <v>1558759.43</v>
      </c>
      <c r="F37" s="205">
        <v>76529.72</v>
      </c>
      <c r="G37" s="212"/>
      <c r="H37" s="146"/>
      <c r="I37" s="146">
        <v>1514282.75</v>
      </c>
      <c r="J37" s="198">
        <v>76529.72</v>
      </c>
      <c r="K37" s="202"/>
      <c r="L37" s="12"/>
      <c r="M37"/>
      <c r="N37"/>
      <c r="O37"/>
      <c r="P37"/>
      <c r="Q37"/>
      <c r="R37"/>
      <c r="S37"/>
      <c r="T37"/>
      <c r="U37"/>
      <c r="V37"/>
      <c r="W37"/>
    </row>
    <row r="38" spans="1:23" ht="34.5" customHeight="1" thickBot="1" thickTop="1">
      <c r="A38" s="210"/>
      <c r="B38" s="210"/>
      <c r="C38" s="156" t="s">
        <v>143</v>
      </c>
      <c r="D38" s="145">
        <v>3000</v>
      </c>
      <c r="E38" s="196">
        <v>7530</v>
      </c>
      <c r="F38" s="205"/>
      <c r="G38" s="213"/>
      <c r="H38" s="146">
        <v>3000</v>
      </c>
      <c r="I38" s="146">
        <v>7530</v>
      </c>
      <c r="J38" s="198"/>
      <c r="K38" s="203"/>
      <c r="L38" s="12"/>
      <c r="M38"/>
      <c r="N38"/>
      <c r="O38"/>
      <c r="P38"/>
      <c r="Q38"/>
      <c r="R38"/>
      <c r="S38"/>
      <c r="T38"/>
      <c r="U38"/>
      <c r="V38"/>
      <c r="W38"/>
    </row>
    <row r="39" spans="1:23" ht="34.5" customHeight="1" thickBot="1" thickTop="1">
      <c r="A39" s="210"/>
      <c r="B39" s="210"/>
      <c r="C39" s="156" t="s">
        <v>164</v>
      </c>
      <c r="D39" s="145"/>
      <c r="E39" s="196">
        <v>46097.5</v>
      </c>
      <c r="F39" s="205"/>
      <c r="G39" s="214"/>
      <c r="H39" s="146"/>
      <c r="I39" s="146">
        <v>46097.5</v>
      </c>
      <c r="J39" s="198"/>
      <c r="K39" s="204"/>
      <c r="L39" s="12"/>
      <c r="M39"/>
      <c r="N39"/>
      <c r="O39"/>
      <c r="P39"/>
      <c r="Q39"/>
      <c r="R39"/>
      <c r="S39"/>
      <c r="T39"/>
      <c r="U39"/>
      <c r="V39"/>
      <c r="W39"/>
    </row>
    <row r="40" spans="1:23" ht="34.5" customHeight="1" thickBot="1" thickTop="1">
      <c r="A40" s="210" t="s">
        <v>104</v>
      </c>
      <c r="B40" s="210" t="s">
        <v>125</v>
      </c>
      <c r="C40" s="173" t="s">
        <v>144</v>
      </c>
      <c r="D40" s="147"/>
      <c r="E40" s="147">
        <f>E41+E42+E43</f>
        <v>3762800.91</v>
      </c>
      <c r="F40" s="211">
        <v>278268.64</v>
      </c>
      <c r="G40" s="229"/>
      <c r="H40" s="148"/>
      <c r="I40" s="148">
        <f>I41+I42+I43</f>
        <v>3762198.44</v>
      </c>
      <c r="J40" s="198">
        <v>278268.64</v>
      </c>
      <c r="K40" s="202"/>
      <c r="L40" s="12"/>
      <c r="M40"/>
      <c r="N40"/>
      <c r="O40"/>
      <c r="P40"/>
      <c r="Q40"/>
      <c r="R40"/>
      <c r="S40"/>
      <c r="T40"/>
      <c r="U40"/>
      <c r="V40"/>
      <c r="W40"/>
    </row>
    <row r="41" spans="1:23" ht="34.5" customHeight="1" thickBot="1" thickTop="1">
      <c r="A41" s="210"/>
      <c r="B41" s="210"/>
      <c r="C41" s="155" t="s">
        <v>145</v>
      </c>
      <c r="D41" s="145"/>
      <c r="E41" s="196">
        <v>543690</v>
      </c>
      <c r="F41" s="211"/>
      <c r="G41" s="230"/>
      <c r="H41" s="146"/>
      <c r="I41" s="146">
        <v>543690</v>
      </c>
      <c r="J41" s="198"/>
      <c r="K41" s="203"/>
      <c r="L41" s="12"/>
      <c r="M41"/>
      <c r="N41"/>
      <c r="O41"/>
      <c r="P41"/>
      <c r="Q41"/>
      <c r="R41"/>
      <c r="S41"/>
      <c r="T41"/>
      <c r="U41"/>
      <c r="V41"/>
      <c r="W41"/>
    </row>
    <row r="42" spans="1:24" ht="34.5" customHeight="1" thickBot="1" thickTop="1">
      <c r="A42" s="210"/>
      <c r="B42" s="210"/>
      <c r="C42" s="155" t="s">
        <v>146</v>
      </c>
      <c r="D42" s="145"/>
      <c r="E42" s="196">
        <v>3150000</v>
      </c>
      <c r="F42" s="211"/>
      <c r="G42" s="230"/>
      <c r="H42" s="146"/>
      <c r="I42" s="146">
        <v>3150000</v>
      </c>
      <c r="J42" s="198"/>
      <c r="K42" s="203"/>
      <c r="L42" s="12"/>
      <c r="M42"/>
      <c r="N42"/>
      <c r="O42"/>
      <c r="P42"/>
      <c r="Q42"/>
      <c r="R42"/>
      <c r="S42"/>
      <c r="T42"/>
      <c r="U42"/>
      <c r="V42"/>
      <c r="W42"/>
      <c r="X42"/>
    </row>
    <row r="43" spans="1:24" ht="34.5" customHeight="1" thickBot="1" thickTop="1">
      <c r="A43" s="210"/>
      <c r="B43" s="210"/>
      <c r="C43" s="156" t="s">
        <v>143</v>
      </c>
      <c r="D43" s="145"/>
      <c r="E43" s="196">
        <v>69110.91</v>
      </c>
      <c r="F43" s="211"/>
      <c r="G43" s="230"/>
      <c r="H43" s="146"/>
      <c r="I43" s="146">
        <v>68508.44</v>
      </c>
      <c r="J43" s="198"/>
      <c r="K43" s="203"/>
      <c r="L43" s="12"/>
      <c r="M43"/>
      <c r="N43"/>
      <c r="O43"/>
      <c r="P43"/>
      <c r="Q43"/>
      <c r="R43"/>
      <c r="S43"/>
      <c r="T43"/>
      <c r="U43"/>
      <c r="V43"/>
      <c r="W43"/>
      <c r="X43"/>
    </row>
    <row r="44" spans="1:24" ht="34.5" customHeight="1" thickBot="1" thickTop="1">
      <c r="A44" s="210"/>
      <c r="B44" s="210"/>
      <c r="C44" s="158" t="s">
        <v>147</v>
      </c>
      <c r="D44" s="161"/>
      <c r="E44" s="147">
        <f>E45+E46+E47</f>
        <v>0</v>
      </c>
      <c r="F44" s="211"/>
      <c r="G44" s="230"/>
      <c r="H44" s="146"/>
      <c r="I44" s="148">
        <f>I45+I46+I47</f>
        <v>0</v>
      </c>
      <c r="J44" s="198"/>
      <c r="K44" s="203"/>
      <c r="L44" s="12"/>
      <c r="M44"/>
      <c r="N44"/>
      <c r="O44"/>
      <c r="P44"/>
      <c r="Q44"/>
      <c r="R44"/>
      <c r="S44"/>
      <c r="T44"/>
      <c r="U44"/>
      <c r="V44"/>
      <c r="W44"/>
      <c r="X44"/>
    </row>
    <row r="45" spans="1:24" ht="34.5" customHeight="1" thickBot="1" thickTop="1">
      <c r="A45" s="210"/>
      <c r="B45" s="210"/>
      <c r="C45" s="155" t="s">
        <v>148</v>
      </c>
      <c r="D45" s="161"/>
      <c r="E45" s="196"/>
      <c r="F45" s="211"/>
      <c r="G45" s="230"/>
      <c r="H45" s="146"/>
      <c r="I45" s="146"/>
      <c r="J45" s="198"/>
      <c r="K45" s="203"/>
      <c r="L45" s="12"/>
      <c r="M45"/>
      <c r="N45"/>
      <c r="O45"/>
      <c r="P45"/>
      <c r="Q45"/>
      <c r="R45"/>
      <c r="S45"/>
      <c r="T45"/>
      <c r="U45"/>
      <c r="V45"/>
      <c r="W45"/>
      <c r="X45"/>
    </row>
    <row r="46" spans="1:24" ht="34.5" customHeight="1" thickBot="1" thickTop="1">
      <c r="A46" s="210"/>
      <c r="B46" s="210"/>
      <c r="C46" s="155" t="s">
        <v>149</v>
      </c>
      <c r="D46" s="161"/>
      <c r="E46" s="196"/>
      <c r="F46" s="211"/>
      <c r="G46" s="230"/>
      <c r="H46" s="146"/>
      <c r="I46" s="146"/>
      <c r="J46" s="198"/>
      <c r="K46" s="203"/>
      <c r="M46"/>
      <c r="N46"/>
      <c r="O46"/>
      <c r="P46"/>
      <c r="Q46"/>
      <c r="R46"/>
      <c r="S46"/>
      <c r="T46"/>
      <c r="U46"/>
      <c r="V46"/>
      <c r="W46"/>
      <c r="X46"/>
    </row>
    <row r="47" spans="1:24" ht="34.5" customHeight="1" thickBot="1" thickTop="1">
      <c r="A47" s="210"/>
      <c r="B47" s="210"/>
      <c r="C47" s="156" t="s">
        <v>143</v>
      </c>
      <c r="D47" s="161"/>
      <c r="E47" s="196"/>
      <c r="F47" s="211"/>
      <c r="G47" s="231"/>
      <c r="H47" s="146"/>
      <c r="I47" s="146"/>
      <c r="J47" s="198"/>
      <c r="K47" s="204"/>
      <c r="L47" s="12"/>
      <c r="M47"/>
      <c r="N47"/>
      <c r="O47"/>
      <c r="P47"/>
      <c r="Q47"/>
      <c r="R47"/>
      <c r="S47"/>
      <c r="T47"/>
      <c r="U47"/>
      <c r="V47"/>
      <c r="W47"/>
      <c r="X47"/>
    </row>
    <row r="48" spans="1:24" ht="42" customHeight="1" thickBot="1" thickTop="1">
      <c r="A48" s="208" t="s">
        <v>43</v>
      </c>
      <c r="B48" s="209"/>
      <c r="C48" s="156" t="s">
        <v>150</v>
      </c>
      <c r="D48" s="149">
        <v>407968.19</v>
      </c>
      <c r="E48" s="193"/>
      <c r="F48" s="162">
        <v>1352268.22</v>
      </c>
      <c r="G48" s="162"/>
      <c r="H48" s="163">
        <v>465091.15</v>
      </c>
      <c r="I48" s="194"/>
      <c r="J48" s="163">
        <v>1352268.22</v>
      </c>
      <c r="K48" s="163"/>
      <c r="L48" s="12"/>
      <c r="M48"/>
      <c r="N48"/>
      <c r="O48"/>
      <c r="P48"/>
      <c r="Q48"/>
      <c r="R48"/>
      <c r="S48"/>
      <c r="T48"/>
      <c r="U48"/>
      <c r="V48"/>
      <c r="W48"/>
      <c r="X48"/>
    </row>
    <row r="49" spans="1:24" ht="34.5" customHeight="1" thickBot="1" thickTop="1">
      <c r="A49" s="208"/>
      <c r="B49" s="209"/>
      <c r="C49" s="156" t="s">
        <v>152</v>
      </c>
      <c r="D49" s="174"/>
      <c r="E49" s="193"/>
      <c r="F49" s="174">
        <v>89273.85</v>
      </c>
      <c r="G49" s="174"/>
      <c r="H49" s="175"/>
      <c r="I49" s="194"/>
      <c r="J49" s="175">
        <v>89272.3</v>
      </c>
      <c r="K49" s="175"/>
      <c r="L49" s="12"/>
      <c r="M49"/>
      <c r="N49"/>
      <c r="O49"/>
      <c r="P49"/>
      <c r="Q49"/>
      <c r="R49"/>
      <c r="S49"/>
      <c r="T49"/>
      <c r="U49"/>
      <c r="V49"/>
      <c r="W49"/>
      <c r="X49"/>
    </row>
    <row r="50" spans="1:24" ht="18" customHeight="1" thickBot="1" thickTop="1">
      <c r="A50" s="220" t="s">
        <v>0</v>
      </c>
      <c r="B50" s="220"/>
      <c r="C50" s="220"/>
      <c r="D50" s="216" t="s">
        <v>23</v>
      </c>
      <c r="E50" s="216"/>
      <c r="F50" s="216"/>
      <c r="G50" s="216"/>
      <c r="H50" s="216"/>
      <c r="I50" s="216"/>
      <c r="J50" s="216"/>
      <c r="K50" s="216"/>
      <c r="M50"/>
      <c r="N50"/>
      <c r="O50"/>
      <c r="P50"/>
      <c r="Q50"/>
      <c r="R50"/>
      <c r="S50"/>
      <c r="T50"/>
      <c r="U50"/>
      <c r="V50"/>
      <c r="W50"/>
      <c r="X50"/>
    </row>
    <row r="51" spans="1:24" ht="18" customHeight="1" thickBot="1" thickTop="1">
      <c r="A51" s="220"/>
      <c r="B51" s="220"/>
      <c r="C51" s="220"/>
      <c r="D51" s="217" t="s">
        <v>108</v>
      </c>
      <c r="E51" s="217"/>
      <c r="F51" s="217"/>
      <c r="G51" s="217"/>
      <c r="H51" s="218" t="s">
        <v>109</v>
      </c>
      <c r="I51" s="218"/>
      <c r="J51" s="218"/>
      <c r="K51" s="218"/>
      <c r="M51"/>
      <c r="N51"/>
      <c r="O51"/>
      <c r="P51"/>
      <c r="Q51"/>
      <c r="R51"/>
      <c r="S51"/>
      <c r="T51"/>
      <c r="U51"/>
      <c r="V51"/>
      <c r="W51"/>
      <c r="X51"/>
    </row>
    <row r="52" spans="1:24" ht="44.25" customHeight="1" thickBot="1" thickTop="1">
      <c r="A52" s="220"/>
      <c r="B52" s="220"/>
      <c r="C52" s="220"/>
      <c r="D52" s="136" t="s">
        <v>163</v>
      </c>
      <c r="E52" s="136" t="s">
        <v>157</v>
      </c>
      <c r="F52" s="136" t="s">
        <v>27</v>
      </c>
      <c r="G52" s="136" t="s">
        <v>30</v>
      </c>
      <c r="H52" s="137" t="s">
        <v>163</v>
      </c>
      <c r="I52" s="137" t="s">
        <v>157</v>
      </c>
      <c r="J52" s="137" t="s">
        <v>27</v>
      </c>
      <c r="K52" s="137" t="s">
        <v>30</v>
      </c>
      <c r="M52"/>
      <c r="N52"/>
      <c r="O52"/>
      <c r="P52"/>
      <c r="Q52"/>
      <c r="R52"/>
      <c r="S52"/>
      <c r="T52"/>
      <c r="U52"/>
      <c r="V52"/>
      <c r="W52"/>
      <c r="X52"/>
    </row>
    <row r="53" spans="1:24" ht="33" customHeight="1" thickBot="1" thickTop="1">
      <c r="A53" s="220"/>
      <c r="B53" s="220"/>
      <c r="C53" s="220"/>
      <c r="D53" s="152">
        <f>D54+D58+D60+D61+D62+D63+D67+D75+D77+D82+D83+D84+D85+D86+D90+D94+D74</f>
        <v>4248716.32</v>
      </c>
      <c r="E53" s="152">
        <f>E54+E58+E60+E61+E62+E63+E67+E75+E77+E82+E83+E84+E85+E86+E90+E94+E74</f>
        <v>6740462.98</v>
      </c>
      <c r="F53" s="152">
        <f>F54+F58+F60+F61+F62+F63+F67+F74+F75+F77+F82+F83+F86+F94+F95</f>
        <v>3065066.4699999997</v>
      </c>
      <c r="G53" s="152">
        <f>G54+G58+G60+G61+G62+G63+G67+G75+G77+G82+G83+G84+G85+G86+G90+G94+G74</f>
        <v>6730</v>
      </c>
      <c r="H53" s="153">
        <f>H54+H58+H60+H61+H62+H63+H67+H75+H77+H82+H83+H84+H85+H86+H90+H94+H74</f>
        <v>3427063.49</v>
      </c>
      <c r="I53" s="153">
        <f>I54+I58+I60+I61+I62+I63+I67+I75+I77+I82+I83+I84+I85+I86+I90+I94+I74</f>
        <v>6825416.140000001</v>
      </c>
      <c r="J53" s="153">
        <f>J54+J58+J60+J61+J62+J63+J67+J74+J75+J77+J82+J83+J86+J94+J95</f>
        <v>3065066.4699999997</v>
      </c>
      <c r="K53" s="153">
        <f>K54+K58+K60+K61+K62+K63+K67+K75+K77+K82+K83+K84+K85+K86+K90+K94+K74</f>
        <v>6730</v>
      </c>
      <c r="M53"/>
      <c r="N53"/>
      <c r="O53"/>
      <c r="P53"/>
      <c r="Q53"/>
      <c r="R53"/>
      <c r="S53"/>
      <c r="T53"/>
      <c r="U53"/>
      <c r="V53"/>
      <c r="W53"/>
      <c r="X53"/>
    </row>
    <row r="54" spans="1:24" ht="49.5" customHeight="1" thickBot="1" thickTop="1">
      <c r="A54" s="219" t="s">
        <v>7</v>
      </c>
      <c r="B54" s="219" t="s">
        <v>118</v>
      </c>
      <c r="C54" s="154" t="s">
        <v>128</v>
      </c>
      <c r="D54" s="205">
        <v>11536.46</v>
      </c>
      <c r="E54" s="205">
        <v>300286.08</v>
      </c>
      <c r="F54" s="205">
        <v>392315.96</v>
      </c>
      <c r="G54" s="205"/>
      <c r="H54" s="198">
        <v>8536.46</v>
      </c>
      <c r="I54" s="198">
        <v>309481.63</v>
      </c>
      <c r="J54" s="198">
        <v>392315.96</v>
      </c>
      <c r="K54" s="198"/>
      <c r="L54" s="12"/>
      <c r="M54"/>
      <c r="N54"/>
      <c r="O54"/>
      <c r="P54"/>
      <c r="Q54"/>
      <c r="R54"/>
      <c r="S54"/>
      <c r="T54"/>
      <c r="U54"/>
      <c r="V54"/>
      <c r="W54"/>
      <c r="X54"/>
    </row>
    <row r="55" spans="1:24" ht="49.5" customHeight="1" thickBot="1" thickTop="1">
      <c r="A55" s="219"/>
      <c r="B55" s="219"/>
      <c r="C55" s="154" t="s">
        <v>129</v>
      </c>
      <c r="D55" s="205"/>
      <c r="E55" s="205"/>
      <c r="F55" s="205"/>
      <c r="G55" s="205"/>
      <c r="H55" s="198"/>
      <c r="I55" s="198"/>
      <c r="J55" s="198"/>
      <c r="K55" s="198"/>
      <c r="L55" s="12"/>
      <c r="M55"/>
      <c r="N55"/>
      <c r="O55"/>
      <c r="P55"/>
      <c r="Q55"/>
      <c r="R55"/>
      <c r="S55"/>
      <c r="T55"/>
      <c r="U55"/>
      <c r="V55"/>
      <c r="W55"/>
      <c r="X55"/>
    </row>
    <row r="56" spans="1:24" ht="49.5" customHeight="1" thickBot="1" thickTop="1">
      <c r="A56" s="219"/>
      <c r="B56" s="219"/>
      <c r="C56" s="154" t="s">
        <v>130</v>
      </c>
      <c r="D56" s="205"/>
      <c r="E56" s="205"/>
      <c r="F56" s="205"/>
      <c r="G56" s="205"/>
      <c r="H56" s="198"/>
      <c r="I56" s="198"/>
      <c r="J56" s="198"/>
      <c r="K56" s="198"/>
      <c r="L56" s="12"/>
      <c r="M56"/>
      <c r="N56"/>
      <c r="O56"/>
      <c r="P56"/>
      <c r="Q56"/>
      <c r="R56"/>
      <c r="S56"/>
      <c r="T56"/>
      <c r="U56"/>
      <c r="V56"/>
      <c r="W56"/>
      <c r="X56"/>
    </row>
    <row r="57" spans="1:24" ht="49.5" customHeight="1" thickBot="1" thickTop="1">
      <c r="A57" s="219"/>
      <c r="B57" s="219"/>
      <c r="C57" s="155" t="s">
        <v>131</v>
      </c>
      <c r="D57" s="205"/>
      <c r="E57" s="205"/>
      <c r="F57" s="205"/>
      <c r="G57" s="205"/>
      <c r="H57" s="198"/>
      <c r="I57" s="198"/>
      <c r="J57" s="198"/>
      <c r="K57" s="198"/>
      <c r="L57" s="12"/>
      <c r="M57"/>
      <c r="N57"/>
      <c r="O57"/>
      <c r="P57"/>
      <c r="Q57"/>
      <c r="R57"/>
      <c r="S57"/>
      <c r="T57"/>
      <c r="U57"/>
      <c r="V57"/>
      <c r="W57"/>
      <c r="X57"/>
    </row>
    <row r="58" spans="1:24" ht="49.5" customHeight="1" thickBot="1" thickTop="1">
      <c r="A58" s="219"/>
      <c r="B58" s="219" t="s">
        <v>119</v>
      </c>
      <c r="C58" s="156" t="s">
        <v>129</v>
      </c>
      <c r="D58" s="205">
        <v>3680.24</v>
      </c>
      <c r="E58" s="205">
        <v>79435.39</v>
      </c>
      <c r="F58" s="205">
        <v>129105.79</v>
      </c>
      <c r="G58" s="205"/>
      <c r="H58" s="198">
        <v>3680.24</v>
      </c>
      <c r="I58" s="198">
        <v>88633.35</v>
      </c>
      <c r="J58" s="198">
        <v>129105.79</v>
      </c>
      <c r="K58" s="198"/>
      <c r="L58" s="228"/>
      <c r="M58"/>
      <c r="N58"/>
      <c r="O58"/>
      <c r="P58"/>
      <c r="Q58"/>
      <c r="R58"/>
      <c r="S58"/>
      <c r="T58"/>
      <c r="U58"/>
      <c r="V58"/>
      <c r="W58"/>
      <c r="X58"/>
    </row>
    <row r="59" spans="1:23" ht="49.5" customHeight="1" thickBot="1" thickTop="1">
      <c r="A59" s="219"/>
      <c r="B59" s="219"/>
      <c r="C59" s="155" t="s">
        <v>131</v>
      </c>
      <c r="D59" s="205"/>
      <c r="E59" s="205"/>
      <c r="F59" s="205"/>
      <c r="G59" s="205"/>
      <c r="H59" s="198"/>
      <c r="I59" s="198"/>
      <c r="J59" s="198"/>
      <c r="K59" s="198"/>
      <c r="L59" s="228"/>
      <c r="M59"/>
      <c r="N59"/>
      <c r="O59"/>
      <c r="P59"/>
      <c r="Q59"/>
      <c r="R59"/>
      <c r="S59"/>
      <c r="T59"/>
      <c r="U59"/>
      <c r="V59"/>
      <c r="W59"/>
    </row>
    <row r="60" spans="1:23" ht="49.5" customHeight="1" thickBot="1" thickTop="1">
      <c r="A60" s="219"/>
      <c r="B60" s="159" t="s">
        <v>126</v>
      </c>
      <c r="C60" s="155" t="s">
        <v>131</v>
      </c>
      <c r="D60" s="145">
        <v>4596.77</v>
      </c>
      <c r="E60" s="196">
        <v>50841.97</v>
      </c>
      <c r="F60" s="196">
        <v>66742.8</v>
      </c>
      <c r="G60" s="145"/>
      <c r="H60" s="146">
        <v>4596.77</v>
      </c>
      <c r="I60" s="146">
        <v>60113.17</v>
      </c>
      <c r="J60" s="146">
        <v>66742.8</v>
      </c>
      <c r="K60" s="146"/>
      <c r="L60" s="12"/>
      <c r="M60"/>
      <c r="N60"/>
      <c r="O60"/>
      <c r="P60"/>
      <c r="Q60"/>
      <c r="R60"/>
      <c r="S60"/>
      <c r="T60"/>
      <c r="U60"/>
      <c r="V60"/>
      <c r="W60"/>
    </row>
    <row r="61" spans="1:23" ht="49.5" customHeight="1" thickBot="1" thickTop="1">
      <c r="A61" s="219"/>
      <c r="B61" s="159" t="s">
        <v>127</v>
      </c>
      <c r="C61" s="155" t="s">
        <v>131</v>
      </c>
      <c r="D61" s="180">
        <v>1026.59</v>
      </c>
      <c r="E61" s="196">
        <v>52357.03</v>
      </c>
      <c r="F61" s="196">
        <v>71460.17</v>
      </c>
      <c r="G61" s="180"/>
      <c r="H61" s="146">
        <v>1026.59</v>
      </c>
      <c r="I61" s="146">
        <v>49036.93</v>
      </c>
      <c r="J61" s="146">
        <v>71460.17</v>
      </c>
      <c r="K61" s="146"/>
      <c r="L61" s="12"/>
      <c r="M61"/>
      <c r="N61"/>
      <c r="O61"/>
      <c r="P61"/>
      <c r="Q61"/>
      <c r="R61"/>
      <c r="S61"/>
      <c r="T61"/>
      <c r="U61"/>
      <c r="V61"/>
      <c r="W61"/>
    </row>
    <row r="62" spans="1:23" ht="69.75" customHeight="1" thickBot="1" thickTop="1">
      <c r="A62" s="219" t="s">
        <v>105</v>
      </c>
      <c r="B62" s="164" t="s">
        <v>120</v>
      </c>
      <c r="C62" s="166" t="s">
        <v>132</v>
      </c>
      <c r="D62" s="180">
        <v>1600.53</v>
      </c>
      <c r="E62" s="196">
        <v>44246.58</v>
      </c>
      <c r="F62" s="196">
        <v>77234.3</v>
      </c>
      <c r="G62" s="180"/>
      <c r="H62" s="146">
        <v>10401.53</v>
      </c>
      <c r="I62" s="146">
        <v>44880.51</v>
      </c>
      <c r="J62" s="146">
        <v>77234.3</v>
      </c>
      <c r="K62" s="146"/>
      <c r="L62" s="12"/>
      <c r="M62"/>
      <c r="N62"/>
      <c r="O62"/>
      <c r="P62"/>
      <c r="Q62"/>
      <c r="R62"/>
      <c r="S62"/>
      <c r="T62"/>
      <c r="U62"/>
      <c r="V62"/>
      <c r="W62"/>
    </row>
    <row r="63" spans="1:23" ht="69.75" customHeight="1" thickBot="1" thickTop="1">
      <c r="A63" s="219"/>
      <c r="B63" s="169" t="s">
        <v>6</v>
      </c>
      <c r="C63" s="156" t="s">
        <v>133</v>
      </c>
      <c r="D63" s="179">
        <v>6103.97</v>
      </c>
      <c r="E63" s="193">
        <v>26665.65</v>
      </c>
      <c r="F63" s="193">
        <v>67718.06</v>
      </c>
      <c r="G63" s="179"/>
      <c r="H63" s="178">
        <v>6103.97</v>
      </c>
      <c r="I63" s="194">
        <v>36969.81</v>
      </c>
      <c r="J63" s="178">
        <v>67718.06</v>
      </c>
      <c r="K63" s="178"/>
      <c r="L63" s="172"/>
      <c r="M63"/>
      <c r="N63"/>
      <c r="O63"/>
      <c r="P63"/>
      <c r="Q63"/>
      <c r="R63"/>
      <c r="S63"/>
      <c r="T63"/>
      <c r="U63"/>
      <c r="V63"/>
      <c r="W63"/>
    </row>
    <row r="64" spans="1:24" ht="17.25" customHeight="1" thickBot="1" thickTop="1">
      <c r="A64" s="220" t="s">
        <v>0</v>
      </c>
      <c r="B64" s="220"/>
      <c r="C64" s="220"/>
      <c r="D64" s="216" t="s">
        <v>23</v>
      </c>
      <c r="E64" s="216"/>
      <c r="F64" s="216"/>
      <c r="G64" s="216"/>
      <c r="H64" s="216"/>
      <c r="I64" s="216"/>
      <c r="J64" s="216"/>
      <c r="K64" s="216"/>
      <c r="M64"/>
      <c r="N64"/>
      <c r="O64"/>
      <c r="P64"/>
      <c r="Q64"/>
      <c r="R64"/>
      <c r="S64"/>
      <c r="T64"/>
      <c r="U64"/>
      <c r="V64"/>
      <c r="W64"/>
      <c r="X64"/>
    </row>
    <row r="65" spans="1:24" ht="17.25" customHeight="1" thickBot="1" thickTop="1">
      <c r="A65" s="220"/>
      <c r="B65" s="220"/>
      <c r="C65" s="220"/>
      <c r="D65" s="217" t="s">
        <v>108</v>
      </c>
      <c r="E65" s="217"/>
      <c r="F65" s="217"/>
      <c r="G65" s="217"/>
      <c r="H65" s="218" t="s">
        <v>109</v>
      </c>
      <c r="I65" s="218"/>
      <c r="J65" s="218"/>
      <c r="K65" s="218"/>
      <c r="M65"/>
      <c r="N65"/>
      <c r="O65"/>
      <c r="P65"/>
      <c r="Q65"/>
      <c r="R65"/>
      <c r="S65"/>
      <c r="T65"/>
      <c r="U65"/>
      <c r="V65"/>
      <c r="W65"/>
      <c r="X65"/>
    </row>
    <row r="66" spans="1:24" ht="43.5" customHeight="1" thickBot="1" thickTop="1">
      <c r="A66" s="220"/>
      <c r="B66" s="220"/>
      <c r="C66" s="220"/>
      <c r="D66" s="136" t="s">
        <v>163</v>
      </c>
      <c r="E66" s="136" t="s">
        <v>157</v>
      </c>
      <c r="F66" s="136" t="s">
        <v>27</v>
      </c>
      <c r="G66" s="136" t="s">
        <v>30</v>
      </c>
      <c r="H66" s="136" t="s">
        <v>163</v>
      </c>
      <c r="I66" s="136" t="s">
        <v>157</v>
      </c>
      <c r="J66" s="136" t="s">
        <v>27</v>
      </c>
      <c r="K66" s="136" t="s">
        <v>30</v>
      </c>
      <c r="M66"/>
      <c r="N66"/>
      <c r="O66"/>
      <c r="P66"/>
      <c r="Q66"/>
      <c r="R66"/>
      <c r="S66"/>
      <c r="T66"/>
      <c r="U66"/>
      <c r="V66"/>
      <c r="W66"/>
      <c r="X66"/>
    </row>
    <row r="67" spans="1:23" ht="49.5" customHeight="1" thickBot="1" thickTop="1">
      <c r="A67" s="221" t="s">
        <v>162</v>
      </c>
      <c r="B67" s="221" t="s">
        <v>123</v>
      </c>
      <c r="C67" s="156" t="s">
        <v>134</v>
      </c>
      <c r="D67" s="205">
        <v>9550</v>
      </c>
      <c r="E67" s="205">
        <v>573210.5</v>
      </c>
      <c r="F67" s="205">
        <v>208990.05</v>
      </c>
      <c r="G67" s="205"/>
      <c r="H67" s="198">
        <v>9550</v>
      </c>
      <c r="I67" s="198">
        <v>646938.49</v>
      </c>
      <c r="J67" s="198">
        <v>208990.05</v>
      </c>
      <c r="K67" s="198"/>
      <c r="L67" s="228"/>
      <c r="M67"/>
      <c r="N67"/>
      <c r="O67"/>
      <c r="P67"/>
      <c r="Q67"/>
      <c r="R67"/>
      <c r="S67"/>
      <c r="T67"/>
      <c r="U67"/>
      <c r="V67"/>
      <c r="W67"/>
    </row>
    <row r="68" spans="1:23" ht="69.75" customHeight="1" thickBot="1" thickTop="1">
      <c r="A68" s="222"/>
      <c r="B68" s="222"/>
      <c r="C68" s="156" t="s">
        <v>135</v>
      </c>
      <c r="D68" s="205"/>
      <c r="E68" s="205"/>
      <c r="F68" s="205"/>
      <c r="G68" s="205"/>
      <c r="H68" s="198"/>
      <c r="I68" s="198"/>
      <c r="J68" s="198"/>
      <c r="K68" s="198"/>
      <c r="L68" s="228"/>
      <c r="M68"/>
      <c r="N68"/>
      <c r="O68"/>
      <c r="P68"/>
      <c r="Q68"/>
      <c r="R68"/>
      <c r="S68"/>
      <c r="T68"/>
      <c r="U68"/>
      <c r="V68"/>
      <c r="W68"/>
    </row>
    <row r="69" spans="1:23" ht="49.5" customHeight="1" thickBot="1" thickTop="1">
      <c r="A69" s="222"/>
      <c r="B69" s="222"/>
      <c r="C69" s="157" t="s">
        <v>136</v>
      </c>
      <c r="D69" s="205"/>
      <c r="E69" s="205"/>
      <c r="F69" s="205"/>
      <c r="G69" s="205"/>
      <c r="H69" s="198"/>
      <c r="I69" s="198"/>
      <c r="J69" s="198"/>
      <c r="K69" s="198"/>
      <c r="L69" s="228"/>
      <c r="M69"/>
      <c r="N69"/>
      <c r="O69"/>
      <c r="P69"/>
      <c r="Q69"/>
      <c r="R69"/>
      <c r="S69"/>
      <c r="T69"/>
      <c r="U69"/>
      <c r="V69"/>
      <c r="W69"/>
    </row>
    <row r="70" spans="1:23" ht="49.5" customHeight="1" thickBot="1" thickTop="1">
      <c r="A70" s="223"/>
      <c r="B70" s="223"/>
      <c r="C70" s="156" t="s">
        <v>137</v>
      </c>
      <c r="D70" s="205"/>
      <c r="E70" s="205"/>
      <c r="F70" s="205"/>
      <c r="G70" s="205"/>
      <c r="H70" s="198"/>
      <c r="I70" s="198"/>
      <c r="J70" s="198"/>
      <c r="K70" s="198"/>
      <c r="L70" s="228"/>
      <c r="M70"/>
      <c r="N70"/>
      <c r="O70"/>
      <c r="P70"/>
      <c r="Q70"/>
      <c r="R70"/>
      <c r="S70"/>
      <c r="T70"/>
      <c r="U70"/>
      <c r="V70"/>
      <c r="W70"/>
    </row>
    <row r="71" spans="1:23" ht="49.5" customHeight="1" thickBot="1" thickTop="1">
      <c r="A71" s="219" t="s">
        <v>47</v>
      </c>
      <c r="B71" s="210" t="s">
        <v>123</v>
      </c>
      <c r="C71" s="156" t="s">
        <v>138</v>
      </c>
      <c r="D71" s="205"/>
      <c r="E71" s="205"/>
      <c r="F71" s="205"/>
      <c r="G71" s="205"/>
      <c r="H71" s="198"/>
      <c r="I71" s="198"/>
      <c r="J71" s="198"/>
      <c r="K71" s="198"/>
      <c r="L71" s="228"/>
      <c r="M71"/>
      <c r="N71"/>
      <c r="O71"/>
      <c r="P71"/>
      <c r="Q71"/>
      <c r="R71"/>
      <c r="S71"/>
      <c r="T71"/>
      <c r="U71"/>
      <c r="V71"/>
      <c r="W71"/>
    </row>
    <row r="72" spans="1:23" ht="49.5" customHeight="1" thickBot="1" thickTop="1">
      <c r="A72" s="219"/>
      <c r="B72" s="210"/>
      <c r="C72" s="156" t="s">
        <v>139</v>
      </c>
      <c r="D72" s="205"/>
      <c r="E72" s="205"/>
      <c r="F72" s="205"/>
      <c r="G72" s="205"/>
      <c r="H72" s="198"/>
      <c r="I72" s="198"/>
      <c r="J72" s="198"/>
      <c r="K72" s="198"/>
      <c r="L72" s="228"/>
      <c r="M72"/>
      <c r="N72"/>
      <c r="O72"/>
      <c r="P72"/>
      <c r="Q72"/>
      <c r="R72"/>
      <c r="S72"/>
      <c r="T72"/>
      <c r="U72"/>
      <c r="V72"/>
      <c r="W72"/>
    </row>
    <row r="73" spans="1:23" ht="49.5" customHeight="1" thickBot="1" thickTop="1">
      <c r="A73" s="219"/>
      <c r="B73" s="210"/>
      <c r="C73" s="156" t="s">
        <v>140</v>
      </c>
      <c r="D73" s="205"/>
      <c r="E73" s="205"/>
      <c r="F73" s="205"/>
      <c r="G73" s="205"/>
      <c r="H73" s="198"/>
      <c r="I73" s="198"/>
      <c r="J73" s="198"/>
      <c r="K73" s="198"/>
      <c r="L73" s="228"/>
      <c r="M73"/>
      <c r="N73"/>
      <c r="O73"/>
      <c r="P73"/>
      <c r="Q73"/>
      <c r="R73"/>
      <c r="S73"/>
      <c r="T73"/>
      <c r="U73"/>
      <c r="V73"/>
      <c r="W73"/>
    </row>
    <row r="74" spans="1:23" ht="89.25" customHeight="1" thickBot="1" thickTop="1">
      <c r="A74" s="219"/>
      <c r="B74" s="195" t="s">
        <v>160</v>
      </c>
      <c r="C74" s="156" t="s">
        <v>156</v>
      </c>
      <c r="D74" s="189">
        <v>8950</v>
      </c>
      <c r="E74" s="193">
        <v>107560.74</v>
      </c>
      <c r="F74" s="189">
        <v>96166.8</v>
      </c>
      <c r="G74" s="189">
        <v>6730</v>
      </c>
      <c r="H74" s="191">
        <v>8950</v>
      </c>
      <c r="I74" s="194">
        <v>107560.74</v>
      </c>
      <c r="J74" s="191">
        <v>96166.8</v>
      </c>
      <c r="K74" s="191">
        <v>6730</v>
      </c>
      <c r="L74" s="228"/>
      <c r="M74"/>
      <c r="N74"/>
      <c r="O74"/>
      <c r="P74"/>
      <c r="Q74"/>
      <c r="R74"/>
      <c r="S74"/>
      <c r="T74"/>
      <c r="U74"/>
      <c r="V74"/>
      <c r="W74"/>
    </row>
    <row r="75" spans="1:23" ht="49.5" customHeight="1" thickBot="1" thickTop="1">
      <c r="A75" s="219"/>
      <c r="B75" s="219" t="s">
        <v>161</v>
      </c>
      <c r="C75" s="156" t="s">
        <v>158</v>
      </c>
      <c r="D75" s="205"/>
      <c r="E75" s="205"/>
      <c r="F75" s="205"/>
      <c r="G75" s="205"/>
      <c r="H75" s="198"/>
      <c r="I75" s="198"/>
      <c r="J75" s="198"/>
      <c r="K75" s="198"/>
      <c r="L75" s="228"/>
      <c r="M75"/>
      <c r="N75"/>
      <c r="O75"/>
      <c r="P75"/>
      <c r="Q75"/>
      <c r="R75"/>
      <c r="S75"/>
      <c r="T75"/>
      <c r="U75"/>
      <c r="V75"/>
      <c r="W75"/>
    </row>
    <row r="76" spans="1:23" ht="49.5" customHeight="1" thickBot="1" thickTop="1">
      <c r="A76" s="219"/>
      <c r="B76" s="219"/>
      <c r="C76" s="156" t="s">
        <v>159</v>
      </c>
      <c r="D76" s="205"/>
      <c r="E76" s="205"/>
      <c r="F76" s="205"/>
      <c r="G76" s="205"/>
      <c r="H76" s="198"/>
      <c r="I76" s="198"/>
      <c r="J76" s="198"/>
      <c r="K76" s="198"/>
      <c r="L76" s="228"/>
      <c r="M76"/>
      <c r="N76"/>
      <c r="O76"/>
      <c r="P76"/>
      <c r="Q76"/>
      <c r="R76"/>
      <c r="S76"/>
      <c r="T76"/>
      <c r="U76"/>
      <c r="V76"/>
      <c r="W76"/>
    </row>
    <row r="77" spans="1:23" ht="49.5" customHeight="1" thickBot="1" thickTop="1">
      <c r="A77" s="219"/>
      <c r="B77" s="210" t="s">
        <v>155</v>
      </c>
      <c r="C77" s="155" t="s">
        <v>46</v>
      </c>
      <c r="D77" s="205">
        <v>3714300</v>
      </c>
      <c r="E77" s="205"/>
      <c r="F77" s="205"/>
      <c r="G77" s="205"/>
      <c r="H77" s="198">
        <v>2869300</v>
      </c>
      <c r="I77" s="198"/>
      <c r="J77" s="198"/>
      <c r="K77" s="198"/>
      <c r="L77" s="228"/>
      <c r="M77"/>
      <c r="N77"/>
      <c r="O77"/>
      <c r="P77"/>
      <c r="Q77"/>
      <c r="R77"/>
      <c r="S77"/>
      <c r="T77"/>
      <c r="U77"/>
      <c r="V77"/>
      <c r="W77"/>
    </row>
    <row r="78" spans="1:23" ht="49.5" customHeight="1" thickBot="1" thickTop="1">
      <c r="A78" s="219"/>
      <c r="B78" s="210"/>
      <c r="C78" s="154" t="s">
        <v>141</v>
      </c>
      <c r="D78" s="205"/>
      <c r="E78" s="205"/>
      <c r="F78" s="205"/>
      <c r="G78" s="205"/>
      <c r="H78" s="198"/>
      <c r="I78" s="198"/>
      <c r="J78" s="198"/>
      <c r="K78" s="198"/>
      <c r="L78" s="228"/>
      <c r="M78"/>
      <c r="N78"/>
      <c r="O78"/>
      <c r="P78"/>
      <c r="Q78"/>
      <c r="R78"/>
      <c r="S78"/>
      <c r="T78"/>
      <c r="U78"/>
      <c r="V78"/>
      <c r="W78"/>
    </row>
    <row r="79" spans="1:23" ht="17.25" customHeight="1" thickBot="1" thickTop="1">
      <c r="A79" s="215" t="s">
        <v>0</v>
      </c>
      <c r="B79" s="215"/>
      <c r="C79" s="215"/>
      <c r="D79" s="216" t="s">
        <v>23</v>
      </c>
      <c r="E79" s="216"/>
      <c r="F79" s="216"/>
      <c r="G79" s="216"/>
      <c r="H79" s="216"/>
      <c r="I79" s="216"/>
      <c r="J79" s="216"/>
      <c r="K79" s="216"/>
      <c r="M79"/>
      <c r="N79"/>
      <c r="O79"/>
      <c r="P79"/>
      <c r="Q79"/>
      <c r="R79"/>
      <c r="S79"/>
      <c r="T79"/>
      <c r="U79"/>
      <c r="V79"/>
      <c r="W79"/>
    </row>
    <row r="80" spans="1:23" ht="17.25" customHeight="1" thickBot="1" thickTop="1">
      <c r="A80" s="215"/>
      <c r="B80" s="215"/>
      <c r="C80" s="215"/>
      <c r="D80" s="217" t="s">
        <v>108</v>
      </c>
      <c r="E80" s="217"/>
      <c r="F80" s="217"/>
      <c r="G80" s="217"/>
      <c r="H80" s="218" t="s">
        <v>109</v>
      </c>
      <c r="I80" s="218"/>
      <c r="J80" s="218"/>
      <c r="K80" s="218"/>
      <c r="M80"/>
      <c r="N80"/>
      <c r="O80"/>
      <c r="P80"/>
      <c r="Q80"/>
      <c r="R80"/>
      <c r="S80"/>
      <c r="T80"/>
      <c r="U80"/>
      <c r="V80"/>
      <c r="W80"/>
    </row>
    <row r="81" spans="1:23" ht="44.25" customHeight="1" thickBot="1" thickTop="1">
      <c r="A81" s="215"/>
      <c r="B81" s="215"/>
      <c r="C81" s="215"/>
      <c r="D81" s="136" t="s">
        <v>163</v>
      </c>
      <c r="E81" s="136" t="s">
        <v>157</v>
      </c>
      <c r="F81" s="136" t="s">
        <v>27</v>
      </c>
      <c r="G81" s="136" t="s">
        <v>30</v>
      </c>
      <c r="H81" s="136" t="s">
        <v>163</v>
      </c>
      <c r="I81" s="136" t="s">
        <v>157</v>
      </c>
      <c r="J81" s="136" t="s">
        <v>27</v>
      </c>
      <c r="K81" s="136" t="s">
        <v>30</v>
      </c>
      <c r="M81"/>
      <c r="N81"/>
      <c r="O81"/>
      <c r="P81"/>
      <c r="Q81"/>
      <c r="R81"/>
      <c r="S81"/>
      <c r="T81"/>
      <c r="U81"/>
      <c r="V81"/>
      <c r="W81"/>
    </row>
    <row r="82" spans="1:23" ht="69" customHeight="1" thickBot="1" thickTop="1">
      <c r="A82" s="210" t="s">
        <v>122</v>
      </c>
      <c r="B82" s="160" t="s">
        <v>124</v>
      </c>
      <c r="C82" s="154" t="s">
        <v>142</v>
      </c>
      <c r="D82" s="145">
        <v>7074.6</v>
      </c>
      <c r="E82" s="196">
        <v>123248.89</v>
      </c>
      <c r="F82" s="145">
        <v>158993.66</v>
      </c>
      <c r="G82" s="145"/>
      <c r="H82" s="146">
        <v>9565.6</v>
      </c>
      <c r="I82" s="146">
        <v>135123.53</v>
      </c>
      <c r="J82" s="146">
        <v>158993.66</v>
      </c>
      <c r="K82" s="146"/>
      <c r="L82" s="12"/>
      <c r="M82"/>
      <c r="N82"/>
      <c r="O82"/>
      <c r="P82"/>
      <c r="Q82"/>
      <c r="R82"/>
      <c r="S82"/>
      <c r="T82"/>
      <c r="U82"/>
      <c r="V82"/>
      <c r="W82"/>
    </row>
    <row r="83" spans="1:23" ht="34.5" customHeight="1" thickBot="1" thickTop="1">
      <c r="A83" s="210"/>
      <c r="B83" s="210" t="s">
        <v>154</v>
      </c>
      <c r="C83" s="154" t="s">
        <v>165</v>
      </c>
      <c r="D83" s="145"/>
      <c r="E83" s="196">
        <v>1503132.84</v>
      </c>
      <c r="F83" s="205">
        <v>76529.72</v>
      </c>
      <c r="G83" s="205"/>
      <c r="H83" s="150"/>
      <c r="I83" s="194">
        <v>1545289.31</v>
      </c>
      <c r="J83" s="198">
        <v>76529.72</v>
      </c>
      <c r="K83" s="202"/>
      <c r="L83" s="12"/>
      <c r="M83"/>
      <c r="N83"/>
      <c r="O83"/>
      <c r="P83"/>
      <c r="Q83"/>
      <c r="R83"/>
      <c r="S83"/>
      <c r="T83"/>
      <c r="U83"/>
      <c r="V83"/>
      <c r="W83"/>
    </row>
    <row r="84" spans="1:23" ht="34.5" customHeight="1" thickBot="1" thickTop="1">
      <c r="A84" s="210"/>
      <c r="B84" s="210"/>
      <c r="C84" s="156" t="s">
        <v>143</v>
      </c>
      <c r="D84" s="145">
        <v>3000</v>
      </c>
      <c r="E84" s="196">
        <v>7530</v>
      </c>
      <c r="F84" s="205"/>
      <c r="G84" s="205"/>
      <c r="H84" s="150">
        <v>3000</v>
      </c>
      <c r="I84" s="194">
        <v>7530</v>
      </c>
      <c r="J84" s="198"/>
      <c r="K84" s="203"/>
      <c r="L84" s="12"/>
      <c r="M84"/>
      <c r="N84"/>
      <c r="O84"/>
      <c r="P84"/>
      <c r="Q84"/>
      <c r="R84"/>
      <c r="S84"/>
      <c r="T84"/>
      <c r="U84"/>
      <c r="V84"/>
      <c r="W84"/>
    </row>
    <row r="85" spans="1:23" ht="34.5" customHeight="1" thickBot="1" thickTop="1">
      <c r="A85" s="210"/>
      <c r="B85" s="210"/>
      <c r="C85" s="156" t="s">
        <v>164</v>
      </c>
      <c r="D85" s="145"/>
      <c r="E85" s="196">
        <v>28642.35</v>
      </c>
      <c r="F85" s="205"/>
      <c r="G85" s="205"/>
      <c r="H85" s="150"/>
      <c r="I85" s="194">
        <v>30121.25</v>
      </c>
      <c r="J85" s="198"/>
      <c r="K85" s="204"/>
      <c r="L85" s="12"/>
      <c r="M85"/>
      <c r="N85"/>
      <c r="O85"/>
      <c r="P85"/>
      <c r="Q85"/>
      <c r="R85"/>
      <c r="S85"/>
      <c r="T85"/>
      <c r="U85"/>
      <c r="V85"/>
      <c r="W85"/>
    </row>
    <row r="86" spans="1:23" ht="34.5" customHeight="1" thickBot="1" thickTop="1">
      <c r="A86" s="210" t="s">
        <v>104</v>
      </c>
      <c r="B86" s="210" t="s">
        <v>125</v>
      </c>
      <c r="C86" s="173" t="s">
        <v>144</v>
      </c>
      <c r="D86" s="147"/>
      <c r="E86" s="147">
        <f>E87+E88+E89</f>
        <v>3843304.96</v>
      </c>
      <c r="F86" s="211">
        <v>278268.64</v>
      </c>
      <c r="G86" s="229"/>
      <c r="H86" s="151"/>
      <c r="I86" s="151">
        <f>I87+I88+I89</f>
        <v>3763737.42</v>
      </c>
      <c r="J86" s="198">
        <v>278268.64</v>
      </c>
      <c r="K86" s="202"/>
      <c r="L86" s="12"/>
      <c r="M86"/>
      <c r="N86"/>
      <c r="O86"/>
      <c r="P86"/>
      <c r="Q86"/>
      <c r="R86"/>
      <c r="S86"/>
      <c r="T86"/>
      <c r="U86"/>
      <c r="V86"/>
      <c r="W86"/>
    </row>
    <row r="87" spans="1:23" ht="34.5" customHeight="1" thickBot="1" thickTop="1">
      <c r="A87" s="210"/>
      <c r="B87" s="210"/>
      <c r="C87" s="155" t="s">
        <v>145</v>
      </c>
      <c r="D87" s="145"/>
      <c r="E87" s="196">
        <v>543690</v>
      </c>
      <c r="F87" s="211"/>
      <c r="G87" s="230"/>
      <c r="H87" s="150"/>
      <c r="I87" s="194">
        <v>543690</v>
      </c>
      <c r="J87" s="198"/>
      <c r="K87" s="203"/>
      <c r="L87" s="12"/>
      <c r="M87"/>
      <c r="N87"/>
      <c r="O87"/>
      <c r="P87"/>
      <c r="Q87"/>
      <c r="R87"/>
      <c r="S87"/>
      <c r="T87"/>
      <c r="U87"/>
      <c r="V87"/>
      <c r="W87"/>
    </row>
    <row r="88" spans="1:23" ht="34.5" customHeight="1" thickBot="1" thickTop="1">
      <c r="A88" s="210"/>
      <c r="B88" s="210"/>
      <c r="C88" s="155" t="s">
        <v>146</v>
      </c>
      <c r="D88" s="145"/>
      <c r="E88" s="196">
        <v>3150000</v>
      </c>
      <c r="F88" s="211"/>
      <c r="G88" s="230"/>
      <c r="H88" s="150"/>
      <c r="I88" s="194">
        <v>3150000</v>
      </c>
      <c r="J88" s="198"/>
      <c r="K88" s="203"/>
      <c r="L88" s="12"/>
      <c r="M88"/>
      <c r="N88"/>
      <c r="O88"/>
      <c r="P88"/>
      <c r="Q88"/>
      <c r="R88"/>
      <c r="S88"/>
      <c r="T88"/>
      <c r="U88"/>
      <c r="V88"/>
      <c r="W88"/>
    </row>
    <row r="89" spans="1:23" ht="34.5" customHeight="1" thickBot="1" thickTop="1">
      <c r="A89" s="210"/>
      <c r="B89" s="210"/>
      <c r="C89" s="156" t="s">
        <v>143</v>
      </c>
      <c r="D89" s="145"/>
      <c r="E89" s="196">
        <v>149614.96</v>
      </c>
      <c r="F89" s="211"/>
      <c r="G89" s="230"/>
      <c r="H89" s="150"/>
      <c r="I89" s="194">
        <v>70047.42</v>
      </c>
      <c r="J89" s="198"/>
      <c r="K89" s="203"/>
      <c r="L89" s="12"/>
      <c r="M89"/>
      <c r="N89"/>
      <c r="O89"/>
      <c r="P89"/>
      <c r="Q89"/>
      <c r="R89"/>
      <c r="S89"/>
      <c r="T89"/>
      <c r="U89"/>
      <c r="V89"/>
      <c r="W89"/>
    </row>
    <row r="90" spans="1:23" ht="34.5" customHeight="1" thickBot="1" thickTop="1">
      <c r="A90" s="210"/>
      <c r="B90" s="210"/>
      <c r="C90" s="158" t="s">
        <v>147</v>
      </c>
      <c r="D90" s="145"/>
      <c r="E90" s="147">
        <f>E91+E92+E93</f>
        <v>0</v>
      </c>
      <c r="F90" s="211"/>
      <c r="G90" s="230"/>
      <c r="H90" s="150"/>
      <c r="I90" s="151">
        <f>I91+I92+I93</f>
        <v>0</v>
      </c>
      <c r="J90" s="198"/>
      <c r="K90" s="203"/>
      <c r="L90" s="12"/>
      <c r="M90"/>
      <c r="N90"/>
      <c r="O90"/>
      <c r="P90"/>
      <c r="Q90"/>
      <c r="R90"/>
      <c r="S90"/>
      <c r="T90"/>
      <c r="U90"/>
      <c r="V90"/>
      <c r="W90"/>
    </row>
    <row r="91" spans="1:23" ht="34.5" customHeight="1" thickBot="1" thickTop="1">
      <c r="A91" s="210"/>
      <c r="B91" s="210"/>
      <c r="C91" s="155" t="s">
        <v>148</v>
      </c>
      <c r="D91" s="145"/>
      <c r="E91" s="196"/>
      <c r="F91" s="211"/>
      <c r="G91" s="230"/>
      <c r="H91" s="150"/>
      <c r="I91" s="194"/>
      <c r="J91" s="198"/>
      <c r="K91" s="203"/>
      <c r="L91" s="12"/>
      <c r="M91"/>
      <c r="N91"/>
      <c r="O91"/>
      <c r="P91"/>
      <c r="Q91"/>
      <c r="R91"/>
      <c r="S91"/>
      <c r="T91"/>
      <c r="U91"/>
      <c r="V91"/>
      <c r="W91"/>
    </row>
    <row r="92" spans="1:23" ht="34.5" customHeight="1" thickBot="1" thickTop="1">
      <c r="A92" s="210"/>
      <c r="B92" s="210"/>
      <c r="C92" s="155" t="s">
        <v>149</v>
      </c>
      <c r="D92" s="145"/>
      <c r="E92" s="196"/>
      <c r="F92" s="211"/>
      <c r="G92" s="230"/>
      <c r="H92" s="150"/>
      <c r="I92" s="194"/>
      <c r="J92" s="198"/>
      <c r="K92" s="203"/>
      <c r="M92"/>
      <c r="N92"/>
      <c r="O92"/>
      <c r="P92"/>
      <c r="Q92"/>
      <c r="R92"/>
      <c r="S92"/>
      <c r="T92"/>
      <c r="U92"/>
      <c r="V92"/>
      <c r="W92"/>
    </row>
    <row r="93" spans="1:23" ht="34.5" customHeight="1" thickBot="1" thickTop="1">
      <c r="A93" s="210"/>
      <c r="B93" s="210"/>
      <c r="C93" s="156" t="s">
        <v>143</v>
      </c>
      <c r="D93" s="145"/>
      <c r="E93" s="196"/>
      <c r="F93" s="211"/>
      <c r="G93" s="231"/>
      <c r="H93" s="150"/>
      <c r="I93" s="194"/>
      <c r="J93" s="198"/>
      <c r="K93" s="204"/>
      <c r="L93" s="12"/>
      <c r="M93"/>
      <c r="N93"/>
      <c r="O93"/>
      <c r="P93"/>
      <c r="Q93"/>
      <c r="R93"/>
      <c r="S93"/>
      <c r="T93"/>
      <c r="U93"/>
      <c r="V93"/>
      <c r="W93"/>
    </row>
    <row r="94" spans="1:23" ht="34.5" customHeight="1" thickBot="1" thickTop="1">
      <c r="A94" s="208" t="s">
        <v>43</v>
      </c>
      <c r="B94" s="209"/>
      <c r="C94" s="156" t="s">
        <v>150</v>
      </c>
      <c r="D94" s="165">
        <v>477297.16</v>
      </c>
      <c r="E94" s="196"/>
      <c r="F94" s="162">
        <v>1352268.22</v>
      </c>
      <c r="G94" s="165"/>
      <c r="H94" s="163">
        <v>492352.33</v>
      </c>
      <c r="I94" s="194"/>
      <c r="J94" s="146">
        <v>1352268.22</v>
      </c>
      <c r="K94" s="146"/>
      <c r="L94" s="12"/>
      <c r="M94"/>
      <c r="N94"/>
      <c r="O94"/>
      <c r="P94"/>
      <c r="Q94"/>
      <c r="R94"/>
      <c r="S94"/>
      <c r="T94"/>
      <c r="U94"/>
      <c r="V94"/>
      <c r="W94"/>
    </row>
    <row r="95" spans="1:23" ht="34.5" customHeight="1" thickBot="1" thickTop="1">
      <c r="A95" s="208"/>
      <c r="B95" s="209"/>
      <c r="C95" s="156" t="s">
        <v>152</v>
      </c>
      <c r="D95" s="176"/>
      <c r="E95" s="196"/>
      <c r="F95" s="174">
        <v>89272.3</v>
      </c>
      <c r="G95" s="176"/>
      <c r="H95" s="175"/>
      <c r="I95" s="194"/>
      <c r="J95" s="146">
        <v>89272.3</v>
      </c>
      <c r="K95" s="146"/>
      <c r="L95" s="12"/>
      <c r="M95"/>
      <c r="N95"/>
      <c r="O95"/>
      <c r="P95"/>
      <c r="Q95"/>
      <c r="R95"/>
      <c r="S95"/>
      <c r="T95"/>
      <c r="U95"/>
      <c r="V95"/>
      <c r="W95"/>
    </row>
    <row r="96" spans="1:23" s="12" customFormat="1" ht="16.5" thickBot="1" thickTop="1">
      <c r="A96"/>
      <c r="B96"/>
      <c r="C96"/>
      <c r="D96"/>
      <c r="E96"/>
      <c r="F96"/>
      <c r="G96"/>
      <c r="H96"/>
      <c r="I96"/>
      <c r="J96"/>
      <c r="K96"/>
      <c r="M96"/>
      <c r="N96"/>
      <c r="O96"/>
      <c r="P96"/>
      <c r="Q96"/>
      <c r="R96"/>
      <c r="S96"/>
      <c r="T96"/>
      <c r="U96"/>
      <c r="V96"/>
      <c r="W96"/>
    </row>
    <row r="97" spans="1:23" s="12" customFormat="1" ht="17.25" customHeight="1" thickBot="1" thickTop="1">
      <c r="A97" s="220" t="s">
        <v>0</v>
      </c>
      <c r="B97" s="220"/>
      <c r="C97" s="220"/>
      <c r="D97" s="216" t="s">
        <v>23</v>
      </c>
      <c r="E97" s="216"/>
      <c r="F97" s="216"/>
      <c r="G97" s="216"/>
      <c r="H97" s="216"/>
      <c r="I97" s="216"/>
      <c r="J97" s="216"/>
      <c r="K97" s="216"/>
      <c r="M97"/>
      <c r="N97"/>
      <c r="O97"/>
      <c r="P97"/>
      <c r="Q97"/>
      <c r="R97"/>
      <c r="S97"/>
      <c r="T97"/>
      <c r="U97"/>
      <c r="V97"/>
      <c r="W97"/>
    </row>
    <row r="98" spans="1:23" s="12" customFormat="1" ht="18" customHeight="1" thickBot="1" thickTop="1">
      <c r="A98" s="220"/>
      <c r="B98" s="220"/>
      <c r="C98" s="220"/>
      <c r="D98" s="217" t="s">
        <v>110</v>
      </c>
      <c r="E98" s="217"/>
      <c r="F98" s="217"/>
      <c r="G98" s="217"/>
      <c r="H98" s="218" t="s">
        <v>111</v>
      </c>
      <c r="I98" s="218"/>
      <c r="J98" s="218"/>
      <c r="K98" s="218"/>
      <c r="M98"/>
      <c r="N98"/>
      <c r="O98"/>
      <c r="P98"/>
      <c r="Q98"/>
      <c r="R98"/>
      <c r="S98"/>
      <c r="T98"/>
      <c r="U98"/>
      <c r="V98"/>
      <c r="W98"/>
    </row>
    <row r="99" spans="1:23" s="12" customFormat="1" ht="44.25" customHeight="1" thickBot="1" thickTop="1">
      <c r="A99" s="220"/>
      <c r="B99" s="220"/>
      <c r="C99" s="220"/>
      <c r="D99" s="136" t="s">
        <v>163</v>
      </c>
      <c r="E99" s="136" t="s">
        <v>157</v>
      </c>
      <c r="F99" s="136" t="s">
        <v>27</v>
      </c>
      <c r="G99" s="136" t="s">
        <v>30</v>
      </c>
      <c r="H99" s="137" t="s">
        <v>163</v>
      </c>
      <c r="I99" s="137" t="s">
        <v>157</v>
      </c>
      <c r="J99" s="137" t="s">
        <v>27</v>
      </c>
      <c r="K99" s="137" t="s">
        <v>30</v>
      </c>
      <c r="M99"/>
      <c r="N99"/>
      <c r="O99"/>
      <c r="P99"/>
      <c r="Q99"/>
      <c r="R99"/>
      <c r="S99"/>
      <c r="T99"/>
      <c r="U99"/>
      <c r="V99"/>
      <c r="W99"/>
    </row>
    <row r="100" spans="1:23" s="12" customFormat="1" ht="33" customHeight="1" thickBot="1" thickTop="1">
      <c r="A100" s="220"/>
      <c r="B100" s="220"/>
      <c r="C100" s="220"/>
      <c r="D100" s="152">
        <f>D101+D105+D107+D108+D109+D110+D114+D122+D124+D129+D130+D131+D132+D133+D137+D141+D121</f>
        <v>1543251.67</v>
      </c>
      <c r="E100" s="152">
        <f>E101+E105+E107+E108+E109+E110+E114+E122+E124+E129+E130+E131+E132+E133+E137+E141+E121</f>
        <v>6719520.54</v>
      </c>
      <c r="F100" s="152">
        <f>F101+F105+F107+F108+F109+F110+F114+F122+F124+F129+F130+F131+F132+F133+F137+F141+F121+F142</f>
        <v>3065066.4699999997</v>
      </c>
      <c r="G100" s="152">
        <f>G101+G105+G107+G108+G109+G110+G114+G122+G124+G129+G130+G131+G132+G133+G137+G141+G121</f>
        <v>6730</v>
      </c>
      <c r="H100" s="153">
        <f>H101+H105+H107+H108+H109+H110+H114+H122+H124+H129+H130+H131+H132+H133+H137+H141+H121</f>
        <v>553772.93</v>
      </c>
      <c r="I100" s="153">
        <f>I101+I105+I107+I108+I109+I110+I114+I122+I124+I129+I130+I131+I132+I133+I137+I141+I121</f>
        <v>6802376.04</v>
      </c>
      <c r="J100" s="153">
        <f>J101+J105+J107+J108+J109+J110+J114+J122+J124+J129+J130+J131+J132+J133+J137+J141+J121+J142</f>
        <v>3226926.25</v>
      </c>
      <c r="K100" s="153">
        <f>K101+K105+K107+K108+K109+K110+K114+K122+K124+K129+K130+K131+K132+K133+K137+K141+K121</f>
        <v>6730</v>
      </c>
      <c r="M100"/>
      <c r="N100"/>
      <c r="O100"/>
      <c r="P100"/>
      <c r="Q100"/>
      <c r="R100"/>
      <c r="S100"/>
      <c r="T100"/>
      <c r="U100"/>
      <c r="V100"/>
      <c r="W100"/>
    </row>
    <row r="101" spans="1:23" s="12" customFormat="1" ht="49.5" customHeight="1" thickBot="1" thickTop="1">
      <c r="A101" s="219" t="s">
        <v>7</v>
      </c>
      <c r="B101" s="219" t="s">
        <v>118</v>
      </c>
      <c r="C101" s="154" t="s">
        <v>128</v>
      </c>
      <c r="D101" s="205">
        <v>8536.46</v>
      </c>
      <c r="E101" s="205">
        <v>296580.7</v>
      </c>
      <c r="F101" s="205">
        <v>392315.96</v>
      </c>
      <c r="G101" s="205"/>
      <c r="H101" s="198">
        <v>8536.46</v>
      </c>
      <c r="I101" s="198">
        <v>311397.69</v>
      </c>
      <c r="J101" s="198">
        <v>398558.49</v>
      </c>
      <c r="K101" s="198"/>
      <c r="M101"/>
      <c r="N101"/>
      <c r="O101"/>
      <c r="P101"/>
      <c r="Q101"/>
      <c r="R101"/>
      <c r="S101"/>
      <c r="T101"/>
      <c r="U101"/>
      <c r="V101"/>
      <c r="W101"/>
    </row>
    <row r="102" spans="1:23" s="12" customFormat="1" ht="49.5" customHeight="1" thickBot="1" thickTop="1">
      <c r="A102" s="219"/>
      <c r="B102" s="219"/>
      <c r="C102" s="154" t="s">
        <v>129</v>
      </c>
      <c r="D102" s="205"/>
      <c r="E102" s="205"/>
      <c r="F102" s="205"/>
      <c r="G102" s="205"/>
      <c r="H102" s="198"/>
      <c r="I102" s="198"/>
      <c r="J102" s="198"/>
      <c r="K102" s="198"/>
      <c r="M102"/>
      <c r="N102"/>
      <c r="O102"/>
      <c r="P102"/>
      <c r="Q102"/>
      <c r="R102"/>
      <c r="S102"/>
      <c r="T102"/>
      <c r="U102"/>
      <c r="V102"/>
      <c r="W102"/>
    </row>
    <row r="103" spans="1:23" s="12" customFormat="1" ht="49.5" customHeight="1" thickBot="1" thickTop="1">
      <c r="A103" s="219"/>
      <c r="B103" s="219"/>
      <c r="C103" s="154" t="s">
        <v>130</v>
      </c>
      <c r="D103" s="205"/>
      <c r="E103" s="205"/>
      <c r="F103" s="205"/>
      <c r="G103" s="205"/>
      <c r="H103" s="198"/>
      <c r="I103" s="198"/>
      <c r="J103" s="198"/>
      <c r="K103" s="198"/>
      <c r="M103"/>
      <c r="N103"/>
      <c r="O103"/>
      <c r="P103"/>
      <c r="Q103"/>
      <c r="R103"/>
      <c r="S103"/>
      <c r="T103"/>
      <c r="U103"/>
      <c r="V103"/>
      <c r="W103"/>
    </row>
    <row r="104" spans="1:23" s="12" customFormat="1" ht="49.5" customHeight="1" thickBot="1" thickTop="1">
      <c r="A104" s="219"/>
      <c r="B104" s="219"/>
      <c r="C104" s="155" t="s">
        <v>131</v>
      </c>
      <c r="D104" s="205"/>
      <c r="E104" s="205"/>
      <c r="F104" s="205"/>
      <c r="G104" s="205"/>
      <c r="H104" s="198"/>
      <c r="I104" s="198"/>
      <c r="J104" s="198"/>
      <c r="K104" s="198"/>
      <c r="M104"/>
      <c r="N104"/>
      <c r="O104"/>
      <c r="P104"/>
      <c r="Q104"/>
      <c r="R104"/>
      <c r="S104"/>
      <c r="T104"/>
      <c r="U104"/>
      <c r="V104"/>
      <c r="W104"/>
    </row>
    <row r="105" spans="1:23" s="12" customFormat="1" ht="49.5" customHeight="1" thickBot="1" thickTop="1">
      <c r="A105" s="219"/>
      <c r="B105" s="219" t="s">
        <v>119</v>
      </c>
      <c r="C105" s="156" t="s">
        <v>129</v>
      </c>
      <c r="D105" s="205">
        <v>3680.24</v>
      </c>
      <c r="E105" s="205">
        <v>78752.15</v>
      </c>
      <c r="F105" s="205">
        <v>129105.79</v>
      </c>
      <c r="G105" s="205"/>
      <c r="H105" s="198">
        <v>3680.24</v>
      </c>
      <c r="I105" s="198">
        <v>80264.18</v>
      </c>
      <c r="J105" s="198">
        <v>129105.79</v>
      </c>
      <c r="K105" s="198"/>
      <c r="M105"/>
      <c r="N105"/>
      <c r="O105"/>
      <c r="P105"/>
      <c r="Q105"/>
      <c r="R105"/>
      <c r="S105"/>
      <c r="T105"/>
      <c r="U105"/>
      <c r="V105"/>
      <c r="W105"/>
    </row>
    <row r="106" spans="1:23" s="12" customFormat="1" ht="49.5" customHeight="1" thickBot="1" thickTop="1">
      <c r="A106" s="219"/>
      <c r="B106" s="219"/>
      <c r="C106" s="155" t="s">
        <v>131</v>
      </c>
      <c r="D106" s="205"/>
      <c r="E106" s="205"/>
      <c r="F106" s="205"/>
      <c r="G106" s="205"/>
      <c r="H106" s="198"/>
      <c r="I106" s="198"/>
      <c r="J106" s="198"/>
      <c r="K106" s="198"/>
      <c r="M106"/>
      <c r="N106"/>
      <c r="O106"/>
      <c r="P106"/>
      <c r="Q106"/>
      <c r="R106"/>
      <c r="S106"/>
      <c r="T106"/>
      <c r="U106"/>
      <c r="V106"/>
      <c r="W106"/>
    </row>
    <row r="107" spans="1:23" s="12" customFormat="1" ht="49.5" customHeight="1" thickBot="1" thickTop="1">
      <c r="A107" s="219"/>
      <c r="B107" s="159" t="s">
        <v>126</v>
      </c>
      <c r="C107" s="155" t="s">
        <v>131</v>
      </c>
      <c r="D107" s="145">
        <v>4596.77</v>
      </c>
      <c r="E107" s="196">
        <v>51657.85</v>
      </c>
      <c r="F107" s="145">
        <v>66742.8</v>
      </c>
      <c r="G107" s="145"/>
      <c r="H107" s="146">
        <v>4596.77</v>
      </c>
      <c r="I107" s="146">
        <v>54097.16</v>
      </c>
      <c r="J107" s="146">
        <v>68759.03</v>
      </c>
      <c r="K107" s="146"/>
      <c r="M107"/>
      <c r="N107"/>
      <c r="O107"/>
      <c r="P107"/>
      <c r="Q107"/>
      <c r="R107"/>
      <c r="S107"/>
      <c r="T107"/>
      <c r="U107"/>
      <c r="V107"/>
      <c r="W107"/>
    </row>
    <row r="108" spans="1:23" s="12" customFormat="1" ht="49.5" customHeight="1" thickBot="1" thickTop="1">
      <c r="A108" s="219"/>
      <c r="B108" s="159" t="s">
        <v>127</v>
      </c>
      <c r="C108" s="155" t="s">
        <v>131</v>
      </c>
      <c r="D108" s="145">
        <v>1026.59</v>
      </c>
      <c r="E108" s="196">
        <v>47945.65</v>
      </c>
      <c r="F108" s="145">
        <v>71460.17</v>
      </c>
      <c r="G108" s="145"/>
      <c r="H108" s="146">
        <v>1026.59</v>
      </c>
      <c r="I108" s="146">
        <v>52108.45</v>
      </c>
      <c r="J108" s="146">
        <v>71460.17</v>
      </c>
      <c r="K108" s="146"/>
      <c r="M108"/>
      <c r="N108"/>
      <c r="O108"/>
      <c r="P108"/>
      <c r="Q108"/>
      <c r="R108"/>
      <c r="S108"/>
      <c r="T108"/>
      <c r="U108"/>
      <c r="V108"/>
      <c r="W108"/>
    </row>
    <row r="109" spans="1:11" s="12" customFormat="1" ht="69.75" customHeight="1" thickBot="1" thickTop="1">
      <c r="A109" s="219" t="s">
        <v>105</v>
      </c>
      <c r="B109" s="164" t="s">
        <v>120</v>
      </c>
      <c r="C109" s="166" t="s">
        <v>132</v>
      </c>
      <c r="D109" s="145">
        <v>1602.54</v>
      </c>
      <c r="E109" s="196">
        <v>45174.25</v>
      </c>
      <c r="F109" s="145">
        <v>77234.3</v>
      </c>
      <c r="G109" s="145"/>
      <c r="H109" s="146">
        <v>1603.53</v>
      </c>
      <c r="I109" s="146">
        <v>48638.88</v>
      </c>
      <c r="J109" s="146">
        <v>77394.38</v>
      </c>
      <c r="K109" s="146"/>
    </row>
    <row r="110" spans="1:11" s="12" customFormat="1" ht="69.75" customHeight="1" thickBot="1" thickTop="1">
      <c r="A110" s="219"/>
      <c r="B110" s="169" t="s">
        <v>6</v>
      </c>
      <c r="C110" s="156" t="s">
        <v>133</v>
      </c>
      <c r="D110" s="171">
        <v>6103.97</v>
      </c>
      <c r="E110" s="193">
        <v>28021.55</v>
      </c>
      <c r="F110" s="171">
        <v>67718.06</v>
      </c>
      <c r="G110" s="171"/>
      <c r="H110" s="170">
        <v>6103.97</v>
      </c>
      <c r="I110" s="194">
        <v>27509.66</v>
      </c>
      <c r="J110" s="170">
        <v>71509.12</v>
      </c>
      <c r="K110" s="170"/>
    </row>
    <row r="111" spans="1:11" s="12" customFormat="1" ht="18" customHeight="1" thickBot="1" thickTop="1">
      <c r="A111" s="220" t="s">
        <v>0</v>
      </c>
      <c r="B111" s="220"/>
      <c r="C111" s="220"/>
      <c r="D111" s="216" t="s">
        <v>23</v>
      </c>
      <c r="E111" s="216"/>
      <c r="F111" s="216"/>
      <c r="G111" s="216"/>
      <c r="H111" s="216"/>
      <c r="I111" s="216"/>
      <c r="J111" s="216"/>
      <c r="K111" s="216"/>
    </row>
    <row r="112" spans="1:11" s="12" customFormat="1" ht="18" customHeight="1" thickBot="1" thickTop="1">
      <c r="A112" s="220"/>
      <c r="B112" s="220"/>
      <c r="C112" s="220"/>
      <c r="D112" s="217" t="s">
        <v>110</v>
      </c>
      <c r="E112" s="217"/>
      <c r="F112" s="217"/>
      <c r="G112" s="217"/>
      <c r="H112" s="218" t="s">
        <v>111</v>
      </c>
      <c r="I112" s="218"/>
      <c r="J112" s="218"/>
      <c r="K112" s="218"/>
    </row>
    <row r="113" spans="1:11" s="12" customFormat="1" ht="44.25" customHeight="1" thickBot="1" thickTop="1">
      <c r="A113" s="220"/>
      <c r="B113" s="220"/>
      <c r="C113" s="220"/>
      <c r="D113" s="136" t="s">
        <v>163</v>
      </c>
      <c r="E113" s="136" t="s">
        <v>157</v>
      </c>
      <c r="F113" s="136" t="s">
        <v>27</v>
      </c>
      <c r="G113" s="136" t="s">
        <v>30</v>
      </c>
      <c r="H113" s="136" t="s">
        <v>163</v>
      </c>
      <c r="I113" s="136" t="s">
        <v>157</v>
      </c>
      <c r="J113" s="136" t="s">
        <v>27</v>
      </c>
      <c r="K113" s="136" t="s">
        <v>30</v>
      </c>
    </row>
    <row r="114" spans="1:11" s="12" customFormat="1" ht="49.5" customHeight="1" thickBot="1" thickTop="1">
      <c r="A114" s="221" t="s">
        <v>162</v>
      </c>
      <c r="B114" s="221" t="s">
        <v>123</v>
      </c>
      <c r="C114" s="156" t="s">
        <v>134</v>
      </c>
      <c r="D114" s="205">
        <v>9550</v>
      </c>
      <c r="E114" s="205">
        <v>573410.5</v>
      </c>
      <c r="F114" s="205">
        <v>208990.05</v>
      </c>
      <c r="G114" s="205"/>
      <c r="H114" s="198">
        <v>9550</v>
      </c>
      <c r="I114" s="198">
        <v>694569.49</v>
      </c>
      <c r="J114" s="198">
        <v>209968.09</v>
      </c>
      <c r="K114" s="198"/>
    </row>
    <row r="115" spans="1:11" s="12" customFormat="1" ht="69.75" customHeight="1" thickBot="1" thickTop="1">
      <c r="A115" s="222"/>
      <c r="B115" s="222"/>
      <c r="C115" s="156" t="s">
        <v>135</v>
      </c>
      <c r="D115" s="205"/>
      <c r="E115" s="205"/>
      <c r="F115" s="205"/>
      <c r="G115" s="205"/>
      <c r="H115" s="198"/>
      <c r="I115" s="198"/>
      <c r="J115" s="198"/>
      <c r="K115" s="198"/>
    </row>
    <row r="116" spans="1:11" s="12" customFormat="1" ht="49.5" customHeight="1" thickBot="1" thickTop="1">
      <c r="A116" s="222"/>
      <c r="B116" s="222"/>
      <c r="C116" s="157" t="s">
        <v>136</v>
      </c>
      <c r="D116" s="205"/>
      <c r="E116" s="205"/>
      <c r="F116" s="205"/>
      <c r="G116" s="205"/>
      <c r="H116" s="198"/>
      <c r="I116" s="198"/>
      <c r="J116" s="198"/>
      <c r="K116" s="198"/>
    </row>
    <row r="117" spans="1:11" s="12" customFormat="1" ht="49.5" customHeight="1" thickBot="1" thickTop="1">
      <c r="A117" s="223"/>
      <c r="B117" s="223"/>
      <c r="C117" s="156" t="s">
        <v>137</v>
      </c>
      <c r="D117" s="205"/>
      <c r="E117" s="205"/>
      <c r="F117" s="205"/>
      <c r="G117" s="205"/>
      <c r="H117" s="198"/>
      <c r="I117" s="198"/>
      <c r="J117" s="198"/>
      <c r="K117" s="198"/>
    </row>
    <row r="118" spans="1:11" s="12" customFormat="1" ht="49.5" customHeight="1" thickBot="1" thickTop="1">
      <c r="A118" s="219" t="s">
        <v>47</v>
      </c>
      <c r="B118" s="210" t="s">
        <v>123</v>
      </c>
      <c r="C118" s="156" t="s">
        <v>138</v>
      </c>
      <c r="D118" s="205"/>
      <c r="E118" s="205"/>
      <c r="F118" s="205"/>
      <c r="G118" s="205"/>
      <c r="H118" s="198"/>
      <c r="I118" s="198"/>
      <c r="J118" s="198"/>
      <c r="K118" s="198"/>
    </row>
    <row r="119" spans="1:11" s="12" customFormat="1" ht="49.5" customHeight="1" thickBot="1" thickTop="1">
      <c r="A119" s="219"/>
      <c r="B119" s="210"/>
      <c r="C119" s="156" t="s">
        <v>139</v>
      </c>
      <c r="D119" s="205"/>
      <c r="E119" s="205"/>
      <c r="F119" s="205"/>
      <c r="G119" s="205"/>
      <c r="H119" s="198"/>
      <c r="I119" s="198"/>
      <c r="J119" s="198"/>
      <c r="K119" s="198"/>
    </row>
    <row r="120" spans="1:11" s="12" customFormat="1" ht="49.5" customHeight="1" thickBot="1" thickTop="1">
      <c r="A120" s="219"/>
      <c r="B120" s="210"/>
      <c r="C120" s="156" t="s">
        <v>140</v>
      </c>
      <c r="D120" s="205"/>
      <c r="E120" s="205"/>
      <c r="F120" s="205"/>
      <c r="G120" s="205"/>
      <c r="H120" s="198"/>
      <c r="I120" s="198"/>
      <c r="J120" s="198"/>
      <c r="K120" s="198"/>
    </row>
    <row r="121" spans="1:17" ht="89.25" customHeight="1" thickBot="1" thickTop="1">
      <c r="A121" s="219"/>
      <c r="B121" s="195" t="s">
        <v>160</v>
      </c>
      <c r="C121" s="156" t="s">
        <v>156</v>
      </c>
      <c r="D121" s="189">
        <v>8950</v>
      </c>
      <c r="E121" s="193">
        <v>147560.74</v>
      </c>
      <c r="F121" s="189">
        <v>96166.8</v>
      </c>
      <c r="G121" s="189">
        <v>6730</v>
      </c>
      <c r="H121" s="191">
        <v>8950</v>
      </c>
      <c r="I121" s="194">
        <v>127560.74</v>
      </c>
      <c r="J121" s="191">
        <v>96166.8</v>
      </c>
      <c r="K121" s="191">
        <v>6730</v>
      </c>
      <c r="L121" s="12"/>
      <c r="M121" s="177"/>
      <c r="N121" s="4"/>
      <c r="O121" s="4"/>
      <c r="P121" s="4"/>
      <c r="Q121" s="80"/>
    </row>
    <row r="122" spans="1:11" s="12" customFormat="1" ht="49.5" customHeight="1" thickBot="1" thickTop="1">
      <c r="A122" s="219"/>
      <c r="B122" s="219" t="s">
        <v>161</v>
      </c>
      <c r="C122" s="156" t="s">
        <v>158</v>
      </c>
      <c r="D122" s="206"/>
      <c r="E122" s="206"/>
      <c r="F122" s="206"/>
      <c r="G122" s="206"/>
      <c r="H122" s="207"/>
      <c r="I122" s="207"/>
      <c r="J122" s="207"/>
      <c r="K122" s="207"/>
    </row>
    <row r="123" spans="1:11" s="12" customFormat="1" ht="49.5" customHeight="1" thickBot="1" thickTop="1">
      <c r="A123" s="219"/>
      <c r="B123" s="219"/>
      <c r="C123" s="156" t="s">
        <v>159</v>
      </c>
      <c r="D123" s="206"/>
      <c r="E123" s="206"/>
      <c r="F123" s="206"/>
      <c r="G123" s="206"/>
      <c r="H123" s="207"/>
      <c r="I123" s="207"/>
      <c r="J123" s="207"/>
      <c r="K123" s="207"/>
    </row>
    <row r="124" spans="1:11" s="12" customFormat="1" ht="49.5" customHeight="1" thickBot="1" thickTop="1">
      <c r="A124" s="219"/>
      <c r="B124" s="210" t="s">
        <v>155</v>
      </c>
      <c r="C124" s="155" t="s">
        <v>46</v>
      </c>
      <c r="D124" s="205">
        <v>992300</v>
      </c>
      <c r="E124" s="206"/>
      <c r="F124" s="206"/>
      <c r="G124" s="206"/>
      <c r="H124" s="207"/>
      <c r="I124" s="207"/>
      <c r="J124" s="198">
        <v>55000</v>
      </c>
      <c r="K124" s="207"/>
    </row>
    <row r="125" spans="1:11" s="12" customFormat="1" ht="49.5" customHeight="1" thickBot="1" thickTop="1">
      <c r="A125" s="219"/>
      <c r="B125" s="210"/>
      <c r="C125" s="154" t="s">
        <v>141</v>
      </c>
      <c r="D125" s="205"/>
      <c r="E125" s="206"/>
      <c r="F125" s="206"/>
      <c r="G125" s="206"/>
      <c r="H125" s="207"/>
      <c r="I125" s="207"/>
      <c r="J125" s="198"/>
      <c r="K125" s="207"/>
    </row>
    <row r="126" spans="1:11" s="12" customFormat="1" ht="17.25" customHeight="1" thickBot="1" thickTop="1">
      <c r="A126" s="215" t="s">
        <v>0</v>
      </c>
      <c r="B126" s="215"/>
      <c r="C126" s="215"/>
      <c r="D126" s="216" t="s">
        <v>23</v>
      </c>
      <c r="E126" s="216"/>
      <c r="F126" s="216"/>
      <c r="G126" s="216"/>
      <c r="H126" s="216"/>
      <c r="I126" s="216"/>
      <c r="J126" s="216"/>
      <c r="K126" s="216"/>
    </row>
    <row r="127" spans="1:11" s="12" customFormat="1" ht="18" customHeight="1" thickBot="1" thickTop="1">
      <c r="A127" s="215"/>
      <c r="B127" s="215"/>
      <c r="C127" s="215"/>
      <c r="D127" s="217" t="s">
        <v>110</v>
      </c>
      <c r="E127" s="217"/>
      <c r="F127" s="217"/>
      <c r="G127" s="217"/>
      <c r="H127" s="218" t="s">
        <v>111</v>
      </c>
      <c r="I127" s="218"/>
      <c r="J127" s="218"/>
      <c r="K127" s="218"/>
    </row>
    <row r="128" spans="1:11" s="12" customFormat="1" ht="44.25" customHeight="1" thickBot="1" thickTop="1">
      <c r="A128" s="215"/>
      <c r="B128" s="215"/>
      <c r="C128" s="215"/>
      <c r="D128" s="136" t="s">
        <v>163</v>
      </c>
      <c r="E128" s="136" t="s">
        <v>157</v>
      </c>
      <c r="F128" s="136" t="s">
        <v>27</v>
      </c>
      <c r="G128" s="136" t="s">
        <v>30</v>
      </c>
      <c r="H128" s="137" t="s">
        <v>163</v>
      </c>
      <c r="I128" s="137" t="s">
        <v>157</v>
      </c>
      <c r="J128" s="137" t="s">
        <v>27</v>
      </c>
      <c r="K128" s="137" t="s">
        <v>30</v>
      </c>
    </row>
    <row r="129" spans="1:11" s="12" customFormat="1" ht="69" customHeight="1" thickBot="1" thickTop="1">
      <c r="A129" s="210" t="s">
        <v>122</v>
      </c>
      <c r="B129" s="160" t="s">
        <v>124</v>
      </c>
      <c r="C129" s="154" t="s">
        <v>142</v>
      </c>
      <c r="D129" s="145">
        <v>7074.6</v>
      </c>
      <c r="E129" s="196">
        <v>122541.72</v>
      </c>
      <c r="F129" s="145">
        <v>158993.66</v>
      </c>
      <c r="G129" s="145"/>
      <c r="H129" s="146">
        <v>7074.6</v>
      </c>
      <c r="I129" s="146">
        <v>121322.75</v>
      </c>
      <c r="J129" s="146">
        <v>164656.25</v>
      </c>
      <c r="K129" s="146"/>
    </row>
    <row r="130" spans="1:11" s="12" customFormat="1" ht="34.5" customHeight="1" thickBot="1" thickTop="1">
      <c r="A130" s="210"/>
      <c r="B130" s="210" t="s">
        <v>154</v>
      </c>
      <c r="C130" s="154" t="s">
        <v>165</v>
      </c>
      <c r="D130" s="145"/>
      <c r="E130" s="196">
        <v>1446189.95</v>
      </c>
      <c r="F130" s="205">
        <v>76529.72</v>
      </c>
      <c r="G130" s="229"/>
      <c r="H130" s="150"/>
      <c r="I130" s="194">
        <v>1481727.17</v>
      </c>
      <c r="J130" s="198">
        <v>78658.31</v>
      </c>
      <c r="K130" s="202"/>
    </row>
    <row r="131" spans="1:11" s="12" customFormat="1" ht="34.5" customHeight="1" thickBot="1" thickTop="1">
      <c r="A131" s="210"/>
      <c r="B131" s="210"/>
      <c r="C131" s="156" t="s">
        <v>143</v>
      </c>
      <c r="D131" s="145">
        <v>3000</v>
      </c>
      <c r="E131" s="196">
        <v>7530</v>
      </c>
      <c r="F131" s="205"/>
      <c r="G131" s="230"/>
      <c r="H131" s="150">
        <v>3000</v>
      </c>
      <c r="I131" s="194">
        <v>7530</v>
      </c>
      <c r="J131" s="198"/>
      <c r="K131" s="203"/>
    </row>
    <row r="132" spans="1:11" s="12" customFormat="1" ht="34.5" customHeight="1" thickBot="1" thickTop="1">
      <c r="A132" s="210"/>
      <c r="B132" s="210"/>
      <c r="C132" s="156" t="s">
        <v>164</v>
      </c>
      <c r="D132" s="145"/>
      <c r="E132" s="196">
        <v>30121.25</v>
      </c>
      <c r="F132" s="205"/>
      <c r="G132" s="231"/>
      <c r="H132" s="150"/>
      <c r="I132" s="194">
        <v>30121.25</v>
      </c>
      <c r="J132" s="198"/>
      <c r="K132" s="204"/>
    </row>
    <row r="133" spans="1:11" s="12" customFormat="1" ht="34.5" customHeight="1" thickBot="1" thickTop="1">
      <c r="A133" s="210" t="s">
        <v>104</v>
      </c>
      <c r="B133" s="210" t="s">
        <v>125</v>
      </c>
      <c r="C133" s="173" t="s">
        <v>144</v>
      </c>
      <c r="D133" s="147"/>
      <c r="E133" s="147">
        <f>E134+E135+E136</f>
        <v>3844034.23</v>
      </c>
      <c r="F133" s="211">
        <v>278268.64</v>
      </c>
      <c r="G133" s="229"/>
      <c r="H133" s="150"/>
      <c r="I133" s="151">
        <f>I134+I135+I136</f>
        <v>3765528.62</v>
      </c>
      <c r="J133" s="198">
        <v>302087.34</v>
      </c>
      <c r="K133" s="202"/>
    </row>
    <row r="134" spans="1:11" s="12" customFormat="1" ht="34.5" customHeight="1" thickBot="1" thickTop="1">
      <c r="A134" s="210"/>
      <c r="B134" s="210"/>
      <c r="C134" s="155" t="s">
        <v>145</v>
      </c>
      <c r="D134" s="145"/>
      <c r="E134" s="196">
        <v>543690</v>
      </c>
      <c r="F134" s="211"/>
      <c r="G134" s="230"/>
      <c r="H134" s="150"/>
      <c r="I134" s="194">
        <v>543690</v>
      </c>
      <c r="J134" s="198"/>
      <c r="K134" s="203"/>
    </row>
    <row r="135" spans="1:11" s="12" customFormat="1" ht="34.5" customHeight="1" thickBot="1" thickTop="1">
      <c r="A135" s="210"/>
      <c r="B135" s="210"/>
      <c r="C135" s="155" t="s">
        <v>146</v>
      </c>
      <c r="D135" s="145"/>
      <c r="E135" s="196">
        <v>3150000</v>
      </c>
      <c r="F135" s="211"/>
      <c r="G135" s="230"/>
      <c r="H135" s="150"/>
      <c r="I135" s="194">
        <v>3150000</v>
      </c>
      <c r="J135" s="198"/>
      <c r="K135" s="203"/>
    </row>
    <row r="136" spans="1:11" s="12" customFormat="1" ht="34.5" customHeight="1" thickBot="1" thickTop="1">
      <c r="A136" s="210"/>
      <c r="B136" s="210"/>
      <c r="C136" s="156" t="s">
        <v>143</v>
      </c>
      <c r="D136" s="145"/>
      <c r="E136" s="196">
        <v>150344.23</v>
      </c>
      <c r="F136" s="211"/>
      <c r="G136" s="230"/>
      <c r="H136" s="150"/>
      <c r="I136" s="194">
        <v>71838.62</v>
      </c>
      <c r="J136" s="198"/>
      <c r="K136" s="203"/>
    </row>
    <row r="137" spans="1:11" s="12" customFormat="1" ht="34.5" customHeight="1" thickBot="1" thickTop="1">
      <c r="A137" s="210"/>
      <c r="B137" s="210"/>
      <c r="C137" s="158" t="s">
        <v>147</v>
      </c>
      <c r="D137" s="147"/>
      <c r="E137" s="147">
        <f>E138+E139+E140</f>
        <v>0</v>
      </c>
      <c r="F137" s="211"/>
      <c r="G137" s="230"/>
      <c r="H137" s="151"/>
      <c r="I137" s="151">
        <f>I138+I139+I140</f>
        <v>0</v>
      </c>
      <c r="J137" s="198"/>
      <c r="K137" s="203"/>
    </row>
    <row r="138" spans="1:11" s="12" customFormat="1" ht="34.5" customHeight="1" thickBot="1" thickTop="1">
      <c r="A138" s="210"/>
      <c r="B138" s="210"/>
      <c r="C138" s="155" t="s">
        <v>148</v>
      </c>
      <c r="D138" s="145"/>
      <c r="E138" s="196"/>
      <c r="F138" s="211"/>
      <c r="G138" s="230"/>
      <c r="H138" s="150"/>
      <c r="I138" s="194"/>
      <c r="J138" s="198"/>
      <c r="K138" s="203"/>
    </row>
    <row r="139" spans="1:11" s="12" customFormat="1" ht="34.5" customHeight="1" thickBot="1" thickTop="1">
      <c r="A139" s="210"/>
      <c r="B139" s="210"/>
      <c r="C139" s="155" t="s">
        <v>149</v>
      </c>
      <c r="D139" s="145"/>
      <c r="E139" s="196"/>
      <c r="F139" s="211"/>
      <c r="G139" s="230"/>
      <c r="H139" s="150"/>
      <c r="I139" s="194"/>
      <c r="J139" s="198"/>
      <c r="K139" s="203"/>
    </row>
    <row r="140" spans="1:11" s="12" customFormat="1" ht="34.5" customHeight="1" thickBot="1" thickTop="1">
      <c r="A140" s="210"/>
      <c r="B140" s="210"/>
      <c r="C140" s="156" t="s">
        <v>143</v>
      </c>
      <c r="D140" s="176"/>
      <c r="E140" s="196"/>
      <c r="F140" s="211"/>
      <c r="G140" s="231"/>
      <c r="H140" s="175"/>
      <c r="I140" s="194"/>
      <c r="J140" s="198"/>
      <c r="K140" s="204"/>
    </row>
    <row r="141" spans="1:11" s="12" customFormat="1" ht="38.25" customHeight="1" thickBot="1" thickTop="1">
      <c r="A141" s="208" t="s">
        <v>43</v>
      </c>
      <c r="B141" s="209"/>
      <c r="C141" s="156" t="s">
        <v>150</v>
      </c>
      <c r="D141" s="165">
        <v>496830.5</v>
      </c>
      <c r="E141" s="196"/>
      <c r="F141" s="162">
        <v>1352268.22</v>
      </c>
      <c r="G141" s="162"/>
      <c r="H141" s="163">
        <v>499650.77</v>
      </c>
      <c r="I141" s="194"/>
      <c r="J141" s="163">
        <v>1411217.78</v>
      </c>
      <c r="K141" s="163"/>
    </row>
    <row r="142" spans="1:13" ht="34.5" customHeight="1" thickBot="1" thickTop="1">
      <c r="A142" s="208"/>
      <c r="B142" s="209"/>
      <c r="C142" s="156" t="s">
        <v>152</v>
      </c>
      <c r="D142" s="176"/>
      <c r="E142" s="196"/>
      <c r="F142" s="174">
        <v>89272.3</v>
      </c>
      <c r="G142" s="176"/>
      <c r="H142" s="175"/>
      <c r="I142" s="194"/>
      <c r="J142" s="146">
        <v>92384.7</v>
      </c>
      <c r="K142" s="146"/>
      <c r="L142" s="12"/>
      <c r="M142" s="76"/>
    </row>
    <row r="143" spans="1:11" s="12" customFormat="1" ht="16.5" thickBot="1" thickTop="1">
      <c r="A143"/>
      <c r="B143"/>
      <c r="C143"/>
      <c r="D143"/>
      <c r="E143"/>
      <c r="F143"/>
      <c r="G143"/>
      <c r="H143"/>
      <c r="I143"/>
      <c r="J143"/>
      <c r="K143"/>
    </row>
    <row r="144" spans="1:11" s="12" customFormat="1" ht="18" customHeight="1" thickBot="1" thickTop="1">
      <c r="A144" s="220" t="s">
        <v>0</v>
      </c>
      <c r="B144" s="220"/>
      <c r="C144" s="220"/>
      <c r="D144" s="216" t="s">
        <v>23</v>
      </c>
      <c r="E144" s="216"/>
      <c r="F144" s="216"/>
      <c r="G144" s="216"/>
      <c r="H144" s="216"/>
      <c r="I144" s="216"/>
      <c r="J144" s="216"/>
      <c r="K144" s="216"/>
    </row>
    <row r="145" spans="1:11" s="12" customFormat="1" ht="18" customHeight="1" thickBot="1" thickTop="1">
      <c r="A145" s="220"/>
      <c r="B145" s="220"/>
      <c r="C145" s="220"/>
      <c r="D145" s="217" t="s">
        <v>112</v>
      </c>
      <c r="E145" s="217"/>
      <c r="F145" s="217"/>
      <c r="G145" s="217"/>
      <c r="H145" s="218" t="s">
        <v>113</v>
      </c>
      <c r="I145" s="218"/>
      <c r="J145" s="218"/>
      <c r="K145" s="218"/>
    </row>
    <row r="146" spans="1:11" s="12" customFormat="1" ht="43.5" customHeight="1" thickBot="1" thickTop="1">
      <c r="A146" s="220"/>
      <c r="B146" s="220"/>
      <c r="C146" s="220"/>
      <c r="D146" s="136" t="s">
        <v>163</v>
      </c>
      <c r="E146" s="136" t="s">
        <v>157</v>
      </c>
      <c r="F146" s="136" t="s">
        <v>27</v>
      </c>
      <c r="G146" s="136" t="s">
        <v>30</v>
      </c>
      <c r="H146" s="136" t="s">
        <v>163</v>
      </c>
      <c r="I146" s="136" t="s">
        <v>157</v>
      </c>
      <c r="J146" s="136" t="s">
        <v>27</v>
      </c>
      <c r="K146" s="136" t="s">
        <v>30</v>
      </c>
    </row>
    <row r="147" spans="1:13" s="12" customFormat="1" ht="33" customHeight="1" thickBot="1" thickTop="1">
      <c r="A147" s="220"/>
      <c r="B147" s="220"/>
      <c r="C147" s="220"/>
      <c r="D147" s="152">
        <f>D148+D152+D154+D155+D156+D157+D161+D169+D171+D176+D177+D178+D179+D180+D184+D188+D168</f>
        <v>1048845.3</v>
      </c>
      <c r="E147" s="152">
        <f>E148+E152+E154+E155+E156+E157+E161+E169+E171+E176+E177+E178+E179+E180+E184+E188+E168</f>
        <v>10101071.600000001</v>
      </c>
      <c r="F147" s="152">
        <f>F148+F152+F154+F155+F156+F157+F161+F169+F171+F176+F177+F178+F179+F180+F184+F188+F168+F189</f>
        <v>3067848.51</v>
      </c>
      <c r="G147" s="152">
        <f>G148+G152+G154+G155+G156+G157+G161+G169+G171+G176+G177+G178+G179+G180+G184+G188+G168</f>
        <v>212770</v>
      </c>
      <c r="H147" s="153">
        <f>H148+H152+H154+H155+H156+H157+H161+H169+H171+H176+H177+H178+H179+H180+H184+H188+H168</f>
        <v>1003490.42</v>
      </c>
      <c r="I147" s="153">
        <f>I148+I152+I154+I155+I156+I157+I161+I169+I171+I176+I177+I178+I179+I180+I184+I188+I168</f>
        <v>9779906.87</v>
      </c>
      <c r="J147" s="153">
        <f>J148+J152+J154+J155+J156+J157+J161+J169+J171+J176+J177+J178+J179+J180+J184+J188+J168+J189</f>
        <v>3067114.74</v>
      </c>
      <c r="K147" s="153">
        <f>K148+K152+K154+K155+K156+K157+K161+K169+K171+K176+K177+K178+K179+K180+K184+K188+K168</f>
        <v>896030</v>
      </c>
      <c r="M147" s="76"/>
    </row>
    <row r="148" spans="1:14" s="12" customFormat="1" ht="49.5" customHeight="1" thickBot="1" thickTop="1">
      <c r="A148" s="219" t="s">
        <v>7</v>
      </c>
      <c r="B148" s="219" t="s">
        <v>118</v>
      </c>
      <c r="C148" s="154" t="s">
        <v>128</v>
      </c>
      <c r="D148" s="205">
        <v>14948.3</v>
      </c>
      <c r="E148" s="205">
        <v>321955.63</v>
      </c>
      <c r="F148" s="205">
        <v>393008.37</v>
      </c>
      <c r="G148" s="205"/>
      <c r="H148" s="198">
        <v>13924.54</v>
      </c>
      <c r="I148" s="198">
        <v>326960.13</v>
      </c>
      <c r="J148" s="198">
        <v>393155.11</v>
      </c>
      <c r="K148" s="198">
        <v>23000</v>
      </c>
      <c r="M148" s="76"/>
      <c r="N148" s="75"/>
    </row>
    <row r="149" spans="1:14" s="12" customFormat="1" ht="49.5" customHeight="1" thickBot="1" thickTop="1">
      <c r="A149" s="219"/>
      <c r="B149" s="219"/>
      <c r="C149" s="154" t="s">
        <v>129</v>
      </c>
      <c r="D149" s="205"/>
      <c r="E149" s="205"/>
      <c r="F149" s="205"/>
      <c r="G149" s="205"/>
      <c r="H149" s="198"/>
      <c r="I149" s="198"/>
      <c r="J149" s="198"/>
      <c r="K149" s="198"/>
      <c r="M149" s="76"/>
      <c r="N149" s="75"/>
    </row>
    <row r="150" spans="1:14" s="12" customFormat="1" ht="49.5" customHeight="1" thickBot="1" thickTop="1">
      <c r="A150" s="219"/>
      <c r="B150" s="219"/>
      <c r="C150" s="154" t="s">
        <v>130</v>
      </c>
      <c r="D150" s="205"/>
      <c r="E150" s="205"/>
      <c r="F150" s="205"/>
      <c r="G150" s="205"/>
      <c r="H150" s="198"/>
      <c r="I150" s="198"/>
      <c r="J150" s="198"/>
      <c r="K150" s="198"/>
      <c r="M150" s="76"/>
      <c r="N150" s="75"/>
    </row>
    <row r="151" spans="1:14" s="12" customFormat="1" ht="49.5" customHeight="1" thickBot="1" thickTop="1">
      <c r="A151" s="219"/>
      <c r="B151" s="219"/>
      <c r="C151" s="155" t="s">
        <v>131</v>
      </c>
      <c r="D151" s="205"/>
      <c r="E151" s="205"/>
      <c r="F151" s="205"/>
      <c r="G151" s="205"/>
      <c r="H151" s="198"/>
      <c r="I151" s="198"/>
      <c r="J151" s="198"/>
      <c r="K151" s="198"/>
      <c r="M151" s="76"/>
      <c r="N151" s="75"/>
    </row>
    <row r="152" spans="1:14" s="12" customFormat="1" ht="49.5" customHeight="1" thickBot="1" thickTop="1">
      <c r="A152" s="219"/>
      <c r="B152" s="219" t="s">
        <v>119</v>
      </c>
      <c r="C152" s="156" t="s">
        <v>129</v>
      </c>
      <c r="D152" s="205">
        <v>8877.62</v>
      </c>
      <c r="E152" s="205">
        <v>89229.16</v>
      </c>
      <c r="F152" s="205">
        <v>130828.08</v>
      </c>
      <c r="G152" s="205"/>
      <c r="H152" s="198">
        <v>8877.62</v>
      </c>
      <c r="I152" s="198">
        <v>86086.44</v>
      </c>
      <c r="J152" s="198">
        <v>129274.22</v>
      </c>
      <c r="K152" s="198">
        <v>9200</v>
      </c>
      <c r="M152" s="76"/>
      <c r="N152" s="75"/>
    </row>
    <row r="153" spans="1:14" s="12" customFormat="1" ht="49.5" customHeight="1" thickBot="1" thickTop="1">
      <c r="A153" s="219"/>
      <c r="B153" s="219"/>
      <c r="C153" s="155" t="s">
        <v>131</v>
      </c>
      <c r="D153" s="205"/>
      <c r="E153" s="205"/>
      <c r="F153" s="205"/>
      <c r="G153" s="205"/>
      <c r="H153" s="198"/>
      <c r="I153" s="198"/>
      <c r="J153" s="198"/>
      <c r="K153" s="198"/>
      <c r="M153" s="76"/>
      <c r="N153" s="75"/>
    </row>
    <row r="154" spans="1:14" s="12" customFormat="1" ht="49.5" customHeight="1" thickBot="1" thickTop="1">
      <c r="A154" s="219"/>
      <c r="B154" s="159" t="s">
        <v>126</v>
      </c>
      <c r="C154" s="155" t="s">
        <v>131</v>
      </c>
      <c r="D154" s="145">
        <v>10384.25</v>
      </c>
      <c r="E154" s="196">
        <v>62889.75</v>
      </c>
      <c r="F154" s="145">
        <v>66742.8</v>
      </c>
      <c r="G154" s="145">
        <v>100000</v>
      </c>
      <c r="H154" s="146">
        <v>10384.25</v>
      </c>
      <c r="I154" s="146">
        <v>57782.22</v>
      </c>
      <c r="J154" s="146">
        <v>66762.16</v>
      </c>
      <c r="K154" s="146">
        <v>109200</v>
      </c>
      <c r="M154" s="76"/>
      <c r="N154" s="75"/>
    </row>
    <row r="155" spans="1:13" s="12" customFormat="1" ht="49.5" customHeight="1" thickBot="1" thickTop="1">
      <c r="A155" s="219"/>
      <c r="B155" s="159" t="s">
        <v>127</v>
      </c>
      <c r="C155" s="155" t="s">
        <v>131</v>
      </c>
      <c r="D155" s="145">
        <v>4750</v>
      </c>
      <c r="E155" s="196">
        <v>52109.42</v>
      </c>
      <c r="F155" s="145">
        <v>71460.17</v>
      </c>
      <c r="G155" s="145"/>
      <c r="H155" s="146">
        <v>6450</v>
      </c>
      <c r="I155" s="146">
        <v>52579.4</v>
      </c>
      <c r="J155" s="146">
        <v>71477.68</v>
      </c>
      <c r="K155" s="146">
        <v>9200</v>
      </c>
      <c r="M155" s="76"/>
    </row>
    <row r="156" spans="1:13" s="12" customFormat="1" ht="69.75" customHeight="1" thickBot="1" thickTop="1">
      <c r="A156" s="219" t="s">
        <v>105</v>
      </c>
      <c r="B156" s="164" t="s">
        <v>120</v>
      </c>
      <c r="C156" s="166" t="s">
        <v>132</v>
      </c>
      <c r="D156" s="145">
        <v>337065.49</v>
      </c>
      <c r="E156" s="196">
        <v>50280.69</v>
      </c>
      <c r="F156" s="145">
        <v>77234.3</v>
      </c>
      <c r="G156" s="145"/>
      <c r="H156" s="146">
        <v>328266.49</v>
      </c>
      <c r="I156" s="146">
        <v>58552.25</v>
      </c>
      <c r="J156" s="146">
        <v>77252.11</v>
      </c>
      <c r="K156" s="146">
        <v>115000</v>
      </c>
      <c r="M156" s="76"/>
    </row>
    <row r="157" spans="1:13" s="12" customFormat="1" ht="69.75" customHeight="1" thickBot="1" thickTop="1">
      <c r="A157" s="219"/>
      <c r="B157" s="169" t="s">
        <v>6</v>
      </c>
      <c r="C157" s="156" t="s">
        <v>133</v>
      </c>
      <c r="D157" s="171">
        <v>7811.75</v>
      </c>
      <c r="E157" s="193">
        <v>36715.29</v>
      </c>
      <c r="F157" s="171">
        <v>67779.88</v>
      </c>
      <c r="G157" s="171"/>
      <c r="H157" s="170">
        <v>7811.75</v>
      </c>
      <c r="I157" s="194">
        <v>31345.46</v>
      </c>
      <c r="J157" s="170">
        <v>67816.95</v>
      </c>
      <c r="K157" s="170">
        <v>9200</v>
      </c>
      <c r="M157" s="76"/>
    </row>
    <row r="158" spans="1:11" s="12" customFormat="1" ht="18" customHeight="1" thickBot="1" thickTop="1">
      <c r="A158" s="220" t="s">
        <v>0</v>
      </c>
      <c r="B158" s="220"/>
      <c r="C158" s="220"/>
      <c r="D158" s="216" t="s">
        <v>23</v>
      </c>
      <c r="E158" s="216"/>
      <c r="F158" s="216"/>
      <c r="G158" s="216"/>
      <c r="H158" s="216"/>
      <c r="I158" s="216"/>
      <c r="J158" s="216"/>
      <c r="K158" s="216"/>
    </row>
    <row r="159" spans="1:11" s="12" customFormat="1" ht="18" customHeight="1" thickBot="1" thickTop="1">
      <c r="A159" s="220"/>
      <c r="B159" s="220"/>
      <c r="C159" s="220"/>
      <c r="D159" s="217" t="s">
        <v>112</v>
      </c>
      <c r="E159" s="217"/>
      <c r="F159" s="217"/>
      <c r="G159" s="217"/>
      <c r="H159" s="218" t="s">
        <v>113</v>
      </c>
      <c r="I159" s="218"/>
      <c r="J159" s="218"/>
      <c r="K159" s="218"/>
    </row>
    <row r="160" spans="1:11" s="12" customFormat="1" ht="44.25" customHeight="1" thickBot="1" thickTop="1">
      <c r="A160" s="220"/>
      <c r="B160" s="220"/>
      <c r="C160" s="220"/>
      <c r="D160" s="136" t="s">
        <v>163</v>
      </c>
      <c r="E160" s="136" t="s">
        <v>157</v>
      </c>
      <c r="F160" s="136" t="s">
        <v>27</v>
      </c>
      <c r="G160" s="136" t="s">
        <v>30</v>
      </c>
      <c r="H160" s="137" t="s">
        <v>163</v>
      </c>
      <c r="I160" s="137" t="s">
        <v>157</v>
      </c>
      <c r="J160" s="137" t="s">
        <v>27</v>
      </c>
      <c r="K160" s="137" t="s">
        <v>30</v>
      </c>
    </row>
    <row r="161" spans="1:11" s="12" customFormat="1" ht="49.5" customHeight="1" thickBot="1" thickTop="1">
      <c r="A161" s="221" t="s">
        <v>162</v>
      </c>
      <c r="B161" s="221" t="s">
        <v>123</v>
      </c>
      <c r="C161" s="156" t="s">
        <v>134</v>
      </c>
      <c r="D161" s="205">
        <v>9550</v>
      </c>
      <c r="E161" s="205">
        <v>1282939.35</v>
      </c>
      <c r="F161" s="205">
        <v>208990.05</v>
      </c>
      <c r="G161" s="205"/>
      <c r="H161" s="198">
        <v>11050</v>
      </c>
      <c r="I161" s="198">
        <v>1324724.64</v>
      </c>
      <c r="J161" s="198">
        <v>209136.18</v>
      </c>
      <c r="K161" s="198">
        <v>9200</v>
      </c>
    </row>
    <row r="162" spans="1:11" s="12" customFormat="1" ht="69.75" customHeight="1" thickBot="1" thickTop="1">
      <c r="A162" s="222"/>
      <c r="B162" s="222"/>
      <c r="C162" s="156" t="s">
        <v>135</v>
      </c>
      <c r="D162" s="205"/>
      <c r="E162" s="205"/>
      <c r="F162" s="205"/>
      <c r="G162" s="205"/>
      <c r="H162" s="198"/>
      <c r="I162" s="198"/>
      <c r="J162" s="198"/>
      <c r="K162" s="198"/>
    </row>
    <row r="163" spans="1:11" s="12" customFormat="1" ht="49.5" customHeight="1" thickBot="1" thickTop="1">
      <c r="A163" s="222"/>
      <c r="B163" s="222"/>
      <c r="C163" s="157" t="s">
        <v>136</v>
      </c>
      <c r="D163" s="205"/>
      <c r="E163" s="205"/>
      <c r="F163" s="205"/>
      <c r="G163" s="205"/>
      <c r="H163" s="198"/>
      <c r="I163" s="198"/>
      <c r="J163" s="198"/>
      <c r="K163" s="198"/>
    </row>
    <row r="164" spans="1:11" s="12" customFormat="1" ht="49.5" customHeight="1" thickBot="1" thickTop="1">
      <c r="A164" s="223"/>
      <c r="B164" s="223"/>
      <c r="C164" s="156" t="s">
        <v>137</v>
      </c>
      <c r="D164" s="205"/>
      <c r="E164" s="205"/>
      <c r="F164" s="205"/>
      <c r="G164" s="205"/>
      <c r="H164" s="198"/>
      <c r="I164" s="198"/>
      <c r="J164" s="198"/>
      <c r="K164" s="198"/>
    </row>
    <row r="165" spans="1:11" s="12" customFormat="1" ht="49.5" customHeight="1" thickBot="1" thickTop="1">
      <c r="A165" s="219" t="s">
        <v>47</v>
      </c>
      <c r="B165" s="210" t="s">
        <v>123</v>
      </c>
      <c r="C165" s="156" t="s">
        <v>138</v>
      </c>
      <c r="D165" s="205"/>
      <c r="E165" s="205"/>
      <c r="F165" s="205"/>
      <c r="G165" s="205"/>
      <c r="H165" s="198"/>
      <c r="I165" s="198"/>
      <c r="J165" s="198"/>
      <c r="K165" s="198"/>
    </row>
    <row r="166" spans="1:11" s="12" customFormat="1" ht="49.5" customHeight="1" thickBot="1" thickTop="1">
      <c r="A166" s="219"/>
      <c r="B166" s="210"/>
      <c r="C166" s="156" t="s">
        <v>139</v>
      </c>
      <c r="D166" s="205"/>
      <c r="E166" s="205"/>
      <c r="F166" s="205"/>
      <c r="G166" s="205"/>
      <c r="H166" s="198"/>
      <c r="I166" s="198"/>
      <c r="J166" s="198"/>
      <c r="K166" s="198"/>
    </row>
    <row r="167" spans="1:11" s="12" customFormat="1" ht="49.5" customHeight="1" thickBot="1" thickTop="1">
      <c r="A167" s="219"/>
      <c r="B167" s="210"/>
      <c r="C167" s="156" t="s">
        <v>140</v>
      </c>
      <c r="D167" s="205"/>
      <c r="E167" s="205"/>
      <c r="F167" s="205"/>
      <c r="G167" s="205"/>
      <c r="H167" s="198"/>
      <c r="I167" s="198"/>
      <c r="J167" s="198"/>
      <c r="K167" s="198"/>
    </row>
    <row r="168" spans="1:17" ht="89.25" customHeight="1" thickBot="1" thickTop="1">
      <c r="A168" s="219"/>
      <c r="B168" s="195" t="s">
        <v>160</v>
      </c>
      <c r="C168" s="156" t="s">
        <v>156</v>
      </c>
      <c r="D168" s="189">
        <v>8950</v>
      </c>
      <c r="E168" s="193">
        <v>349560.74</v>
      </c>
      <c r="F168" s="189">
        <v>96166.8</v>
      </c>
      <c r="G168" s="189">
        <v>6730</v>
      </c>
      <c r="H168" s="191">
        <v>8950</v>
      </c>
      <c r="I168" s="194">
        <v>122560.74</v>
      </c>
      <c r="J168" s="191">
        <v>96166.8</v>
      </c>
      <c r="K168" s="191">
        <v>6730</v>
      </c>
      <c r="L168" s="12"/>
      <c r="M168" s="177"/>
      <c r="N168" s="4"/>
      <c r="O168" s="4"/>
      <c r="P168" s="4"/>
      <c r="Q168" s="80"/>
    </row>
    <row r="169" spans="1:11" s="12" customFormat="1" ht="49.5" customHeight="1" thickBot="1" thickTop="1">
      <c r="A169" s="219"/>
      <c r="B169" s="219" t="s">
        <v>161</v>
      </c>
      <c r="C169" s="156" t="s">
        <v>158</v>
      </c>
      <c r="D169" s="205"/>
      <c r="E169" s="205"/>
      <c r="F169" s="205"/>
      <c r="G169" s="205"/>
      <c r="H169" s="198"/>
      <c r="I169" s="198"/>
      <c r="J169" s="198"/>
      <c r="K169" s="198"/>
    </row>
    <row r="170" spans="1:11" s="12" customFormat="1" ht="49.5" customHeight="1" thickBot="1" thickTop="1">
      <c r="A170" s="219"/>
      <c r="B170" s="219"/>
      <c r="C170" s="156" t="s">
        <v>159</v>
      </c>
      <c r="D170" s="205"/>
      <c r="E170" s="205"/>
      <c r="F170" s="205"/>
      <c r="G170" s="205"/>
      <c r="H170" s="198"/>
      <c r="I170" s="198"/>
      <c r="J170" s="198"/>
      <c r="K170" s="198"/>
    </row>
    <row r="171" spans="1:11" s="12" customFormat="1" ht="49.5" customHeight="1" thickBot="1" thickTop="1">
      <c r="A171" s="219"/>
      <c r="B171" s="210" t="s">
        <v>155</v>
      </c>
      <c r="C171" s="155" t="s">
        <v>46</v>
      </c>
      <c r="D171" s="205"/>
      <c r="E171" s="205"/>
      <c r="F171" s="205"/>
      <c r="G171" s="205"/>
      <c r="H171" s="198"/>
      <c r="I171" s="198"/>
      <c r="J171" s="198"/>
      <c r="K171" s="198"/>
    </row>
    <row r="172" spans="1:11" s="12" customFormat="1" ht="49.5" customHeight="1" thickBot="1" thickTop="1">
      <c r="A172" s="219"/>
      <c r="B172" s="210"/>
      <c r="C172" s="154" t="s">
        <v>141</v>
      </c>
      <c r="D172" s="205"/>
      <c r="E172" s="205"/>
      <c r="F172" s="205"/>
      <c r="G172" s="205"/>
      <c r="H172" s="198"/>
      <c r="I172" s="198"/>
      <c r="J172" s="198"/>
      <c r="K172" s="198"/>
    </row>
    <row r="173" spans="1:11" s="12" customFormat="1" ht="18" customHeight="1" thickBot="1" thickTop="1">
      <c r="A173" s="215" t="s">
        <v>0</v>
      </c>
      <c r="B173" s="215"/>
      <c r="C173" s="215"/>
      <c r="D173" s="216" t="s">
        <v>23</v>
      </c>
      <c r="E173" s="216"/>
      <c r="F173" s="216"/>
      <c r="G173" s="216"/>
      <c r="H173" s="216"/>
      <c r="I173" s="216"/>
      <c r="J173" s="216"/>
      <c r="K173" s="216"/>
    </row>
    <row r="174" spans="1:11" s="12" customFormat="1" ht="18" customHeight="1" thickBot="1" thickTop="1">
      <c r="A174" s="215"/>
      <c r="B174" s="215"/>
      <c r="C174" s="215"/>
      <c r="D174" s="217" t="s">
        <v>112</v>
      </c>
      <c r="E174" s="217"/>
      <c r="F174" s="217"/>
      <c r="G174" s="217"/>
      <c r="H174" s="218" t="s">
        <v>113</v>
      </c>
      <c r="I174" s="218"/>
      <c r="J174" s="218"/>
      <c r="K174" s="218"/>
    </row>
    <row r="175" spans="1:11" s="12" customFormat="1" ht="44.25" customHeight="1" thickBot="1" thickTop="1">
      <c r="A175" s="215"/>
      <c r="B175" s="215"/>
      <c r="C175" s="215"/>
      <c r="D175" s="136" t="s">
        <v>163</v>
      </c>
      <c r="E175" s="136" t="s">
        <v>157</v>
      </c>
      <c r="F175" s="136" t="s">
        <v>27</v>
      </c>
      <c r="G175" s="136" t="s">
        <v>30</v>
      </c>
      <c r="H175" s="137" t="s">
        <v>163</v>
      </c>
      <c r="I175" s="137" t="s">
        <v>157</v>
      </c>
      <c r="J175" s="137" t="s">
        <v>27</v>
      </c>
      <c r="K175" s="137" t="s">
        <v>30</v>
      </c>
    </row>
    <row r="176" spans="1:13" s="12" customFormat="1" ht="69" customHeight="1" thickBot="1" thickTop="1">
      <c r="A176" s="210" t="s">
        <v>153</v>
      </c>
      <c r="B176" s="160" t="s">
        <v>124</v>
      </c>
      <c r="C176" s="154" t="s">
        <v>142</v>
      </c>
      <c r="D176" s="176">
        <v>9029.28</v>
      </c>
      <c r="E176" s="196">
        <v>145238.81</v>
      </c>
      <c r="F176" s="176">
        <v>159142.03</v>
      </c>
      <c r="G176" s="176"/>
      <c r="H176" s="146">
        <v>59029.28</v>
      </c>
      <c r="I176" s="146">
        <v>123990.89</v>
      </c>
      <c r="J176" s="146">
        <v>159299.1</v>
      </c>
      <c r="K176" s="146">
        <v>13800</v>
      </c>
      <c r="M176" s="76"/>
    </row>
    <row r="177" spans="1:13" s="12" customFormat="1" ht="41.25" customHeight="1" thickBot="1" thickTop="1">
      <c r="A177" s="210"/>
      <c r="B177" s="210" t="s">
        <v>154</v>
      </c>
      <c r="C177" s="154" t="s">
        <v>165</v>
      </c>
      <c r="D177" s="145"/>
      <c r="E177" s="196">
        <v>1443519.11</v>
      </c>
      <c r="F177" s="212">
        <v>76529.72</v>
      </c>
      <c r="G177" s="212"/>
      <c r="H177" s="146"/>
      <c r="I177" s="146">
        <v>1328526.5</v>
      </c>
      <c r="J177" s="202">
        <v>76529.72</v>
      </c>
      <c r="K177" s="202">
        <v>69000</v>
      </c>
      <c r="M177" s="76"/>
    </row>
    <row r="178" spans="1:13" s="12" customFormat="1" ht="31.5" customHeight="1" thickBot="1" thickTop="1">
      <c r="A178" s="210"/>
      <c r="B178" s="210"/>
      <c r="C178" s="156" t="s">
        <v>143</v>
      </c>
      <c r="D178" s="145">
        <v>3000</v>
      </c>
      <c r="E178" s="196">
        <v>11030</v>
      </c>
      <c r="F178" s="213"/>
      <c r="G178" s="213"/>
      <c r="H178" s="146">
        <v>3000</v>
      </c>
      <c r="I178" s="146">
        <v>11030</v>
      </c>
      <c r="J178" s="203"/>
      <c r="K178" s="203"/>
      <c r="M178" s="76"/>
    </row>
    <row r="179" spans="1:13" s="12" customFormat="1" ht="31.5" customHeight="1" thickBot="1" thickTop="1">
      <c r="A179" s="210"/>
      <c r="B179" s="210"/>
      <c r="C179" s="156" t="s">
        <v>164</v>
      </c>
      <c r="D179" s="145"/>
      <c r="E179" s="196">
        <v>30121.25</v>
      </c>
      <c r="F179" s="214"/>
      <c r="G179" s="214"/>
      <c r="H179" s="146"/>
      <c r="I179" s="146">
        <v>30121.25</v>
      </c>
      <c r="J179" s="204"/>
      <c r="K179" s="204"/>
      <c r="M179" s="76"/>
    </row>
    <row r="180" spans="1:13" s="12" customFormat="1" ht="31.5" customHeight="1" thickBot="1" thickTop="1">
      <c r="A180" s="210" t="s">
        <v>104</v>
      </c>
      <c r="B180" s="210" t="s">
        <v>48</v>
      </c>
      <c r="C180" s="173" t="s">
        <v>144</v>
      </c>
      <c r="D180" s="147"/>
      <c r="E180" s="147">
        <f>E181+E182+E183</f>
        <v>0</v>
      </c>
      <c r="F180" s="211">
        <v>278268.64</v>
      </c>
      <c r="G180" s="212">
        <v>46000</v>
      </c>
      <c r="H180" s="148"/>
      <c r="I180" s="148">
        <f>I181+I182+I183</f>
        <v>0</v>
      </c>
      <c r="J180" s="198">
        <v>278329.57</v>
      </c>
      <c r="K180" s="202">
        <v>46000</v>
      </c>
      <c r="M180" s="76"/>
    </row>
    <row r="181" spans="1:13" s="12" customFormat="1" ht="31.5" customHeight="1" thickBot="1" thickTop="1">
      <c r="A181" s="210"/>
      <c r="B181" s="210"/>
      <c r="C181" s="155" t="s">
        <v>145</v>
      </c>
      <c r="D181" s="145"/>
      <c r="E181" s="196"/>
      <c r="F181" s="211"/>
      <c r="G181" s="213"/>
      <c r="H181" s="146"/>
      <c r="I181" s="146"/>
      <c r="J181" s="198"/>
      <c r="K181" s="203"/>
      <c r="M181" s="76"/>
    </row>
    <row r="182" spans="1:13" s="12" customFormat="1" ht="31.5" customHeight="1" thickBot="1" thickTop="1">
      <c r="A182" s="210"/>
      <c r="B182" s="210"/>
      <c r="C182" s="155" t="s">
        <v>146</v>
      </c>
      <c r="D182" s="145"/>
      <c r="E182" s="196"/>
      <c r="F182" s="211"/>
      <c r="G182" s="213"/>
      <c r="H182" s="146"/>
      <c r="I182" s="146"/>
      <c r="J182" s="198"/>
      <c r="K182" s="203"/>
      <c r="M182" s="76"/>
    </row>
    <row r="183" spans="1:13" s="12" customFormat="1" ht="31.5" customHeight="1" thickBot="1" thickTop="1">
      <c r="A183" s="210"/>
      <c r="B183" s="210"/>
      <c r="C183" s="156" t="s">
        <v>143</v>
      </c>
      <c r="D183" s="145"/>
      <c r="E183" s="196"/>
      <c r="F183" s="211"/>
      <c r="G183" s="213"/>
      <c r="H183" s="146"/>
      <c r="I183" s="146"/>
      <c r="J183" s="198"/>
      <c r="K183" s="203"/>
      <c r="M183" s="76"/>
    </row>
    <row r="184" spans="1:13" s="12" customFormat="1" ht="31.5" customHeight="1" thickBot="1" thickTop="1">
      <c r="A184" s="210"/>
      <c r="B184" s="210"/>
      <c r="C184" s="158" t="s">
        <v>147</v>
      </c>
      <c r="D184" s="147">
        <f>D185+D186+D187</f>
        <v>2500</v>
      </c>
      <c r="E184" s="147">
        <f>E185+E186+E187</f>
        <v>6225482.4</v>
      </c>
      <c r="F184" s="211"/>
      <c r="G184" s="213"/>
      <c r="H184" s="148">
        <f>H185+H186+H187</f>
        <v>2500</v>
      </c>
      <c r="I184" s="148">
        <f>I185+I186+I187</f>
        <v>6225646.95</v>
      </c>
      <c r="J184" s="198"/>
      <c r="K184" s="203"/>
      <c r="M184" s="76"/>
    </row>
    <row r="185" spans="1:13" s="12" customFormat="1" ht="31.5" customHeight="1" thickBot="1" thickTop="1">
      <c r="A185" s="210"/>
      <c r="B185" s="210"/>
      <c r="C185" s="155" t="s">
        <v>148</v>
      </c>
      <c r="D185" s="145"/>
      <c r="E185" s="196">
        <v>1148400</v>
      </c>
      <c r="F185" s="211"/>
      <c r="G185" s="213"/>
      <c r="H185" s="146"/>
      <c r="I185" s="146">
        <v>1148400</v>
      </c>
      <c r="J185" s="198"/>
      <c r="K185" s="203"/>
      <c r="M185" s="76"/>
    </row>
    <row r="186" spans="1:13" s="12" customFormat="1" ht="31.5" customHeight="1" thickBot="1" thickTop="1">
      <c r="A186" s="210"/>
      <c r="B186" s="210"/>
      <c r="C186" s="155" t="s">
        <v>149</v>
      </c>
      <c r="D186" s="145"/>
      <c r="E186" s="196">
        <v>4867800</v>
      </c>
      <c r="F186" s="211"/>
      <c r="G186" s="213"/>
      <c r="H186" s="146"/>
      <c r="I186" s="146">
        <v>4867800</v>
      </c>
      <c r="J186" s="198"/>
      <c r="K186" s="203"/>
      <c r="M186" s="76"/>
    </row>
    <row r="187" spans="1:13" s="12" customFormat="1" ht="31.5" customHeight="1" thickBot="1" thickTop="1">
      <c r="A187" s="210"/>
      <c r="B187" s="210"/>
      <c r="C187" s="156" t="s">
        <v>143</v>
      </c>
      <c r="D187" s="145">
        <v>2500</v>
      </c>
      <c r="E187" s="196">
        <v>209282.4</v>
      </c>
      <c r="F187" s="211"/>
      <c r="G187" s="214"/>
      <c r="H187" s="146">
        <v>2500</v>
      </c>
      <c r="I187" s="146">
        <v>209446.95</v>
      </c>
      <c r="J187" s="198"/>
      <c r="K187" s="204"/>
      <c r="M187" s="76"/>
    </row>
    <row r="188" spans="1:13" s="12" customFormat="1" ht="40.5" customHeight="1" thickBot="1" thickTop="1">
      <c r="A188" s="208" t="s">
        <v>43</v>
      </c>
      <c r="B188" s="209"/>
      <c r="C188" s="156" t="s">
        <v>150</v>
      </c>
      <c r="D188" s="165">
        <v>631978.61</v>
      </c>
      <c r="E188" s="196"/>
      <c r="F188" s="165">
        <v>1352344.37</v>
      </c>
      <c r="G188" s="165">
        <v>60040</v>
      </c>
      <c r="H188" s="146">
        <v>543246.49</v>
      </c>
      <c r="I188" s="146"/>
      <c r="J188" s="146">
        <v>1352583.19</v>
      </c>
      <c r="K188" s="146">
        <v>476500</v>
      </c>
      <c r="M188" s="76"/>
    </row>
    <row r="189" spans="1:13" ht="31.5" customHeight="1" thickBot="1" thickTop="1">
      <c r="A189" s="208"/>
      <c r="B189" s="209"/>
      <c r="C189" s="156" t="s">
        <v>152</v>
      </c>
      <c r="D189" s="176"/>
      <c r="E189" s="196"/>
      <c r="F189" s="174">
        <v>89353.3</v>
      </c>
      <c r="G189" s="176"/>
      <c r="H189" s="175"/>
      <c r="I189" s="194"/>
      <c r="J189" s="146">
        <v>89331.95</v>
      </c>
      <c r="K189" s="146"/>
      <c r="L189" s="12"/>
      <c r="M189" s="76"/>
    </row>
    <row r="190" spans="1:13" ht="37.5" customHeight="1" thickBot="1" thickTop="1">
      <c r="A190"/>
      <c r="B190"/>
      <c r="C190"/>
      <c r="D190"/>
      <c r="E190"/>
      <c r="F190"/>
      <c r="G190"/>
      <c r="H190"/>
      <c r="I190"/>
      <c r="J190"/>
      <c r="K190"/>
      <c r="L190" s="12"/>
      <c r="M190" s="76"/>
    </row>
    <row r="191" spans="1:11" s="12" customFormat="1" ht="18" customHeight="1" thickBot="1" thickTop="1">
      <c r="A191" s="220" t="s">
        <v>0</v>
      </c>
      <c r="B191" s="220"/>
      <c r="C191" s="220"/>
      <c r="D191" s="216" t="s">
        <v>23</v>
      </c>
      <c r="E191" s="216"/>
      <c r="F191" s="216"/>
      <c r="G191" s="216"/>
      <c r="H191" s="216"/>
      <c r="I191" s="216"/>
      <c r="J191" s="216"/>
      <c r="K191" s="216"/>
    </row>
    <row r="192" spans="1:11" s="12" customFormat="1" ht="17.25" customHeight="1" thickBot="1" thickTop="1">
      <c r="A192" s="220"/>
      <c r="B192" s="220"/>
      <c r="C192" s="220"/>
      <c r="D192" s="217" t="s">
        <v>114</v>
      </c>
      <c r="E192" s="217"/>
      <c r="F192" s="217"/>
      <c r="G192" s="217"/>
      <c r="H192" s="218" t="s">
        <v>115</v>
      </c>
      <c r="I192" s="218"/>
      <c r="J192" s="218"/>
      <c r="K192" s="218"/>
    </row>
    <row r="193" spans="1:11" s="12" customFormat="1" ht="43.5" customHeight="1" thickBot="1" thickTop="1">
      <c r="A193" s="220"/>
      <c r="B193" s="220"/>
      <c r="C193" s="220"/>
      <c r="D193" s="136" t="s">
        <v>163</v>
      </c>
      <c r="E193" s="136" t="s">
        <v>157</v>
      </c>
      <c r="F193" s="136" t="s">
        <v>27</v>
      </c>
      <c r="G193" s="136" t="s">
        <v>30</v>
      </c>
      <c r="H193" s="137" t="s">
        <v>163</v>
      </c>
      <c r="I193" s="137" t="s">
        <v>157</v>
      </c>
      <c r="J193" s="137" t="s">
        <v>27</v>
      </c>
      <c r="K193" s="137" t="s">
        <v>30</v>
      </c>
    </row>
    <row r="194" spans="1:13" s="12" customFormat="1" ht="32.25" customHeight="1" thickBot="1" thickTop="1">
      <c r="A194" s="220"/>
      <c r="B194" s="220"/>
      <c r="C194" s="220"/>
      <c r="D194" s="152">
        <f>D195+D199+D201+D202+D203+D204+D208+D216+D218+D223+D224+D225+D226+D227+D231+D235+D215</f>
        <v>943985.9600000001</v>
      </c>
      <c r="E194" s="152">
        <f>E195+E199+E201+E202+E203+E204+E208+E216+E218+E223+E224+E225+E226+E227+E231+E235+E215</f>
        <v>9760732.8</v>
      </c>
      <c r="F194" s="152">
        <f>F195+F199+F201+F202+F203+F204+F208+F216+F218+F223+F224+F225+F226+F227+F231+F235+F215+F236</f>
        <v>3180403.09</v>
      </c>
      <c r="G194" s="152">
        <f>G195+G199+G201+G202+G203+G204+G208+G216+G218+G223+G224+G225+G226+G227+G231+G235+G215</f>
        <v>306730</v>
      </c>
      <c r="H194" s="153">
        <f>H195+H199+H201+H202+H203+H204+H208+H216+H218+H223+H224+H225+H226+H227+H231+H235+H215</f>
        <v>937078.17</v>
      </c>
      <c r="I194" s="153">
        <f>I195+I199+I201+I202+I203+I204+I208+I216+I218+I223+I224+I225+I226+I227+I231+I235+I215</f>
        <v>9404341.71</v>
      </c>
      <c r="J194" s="153">
        <f>J195+J199+J201+J202+J203+J204+J208+J216+J218+J223+J224+J225+J226+J227+J231+J235+J215+J236</f>
        <v>3180403.13</v>
      </c>
      <c r="K194" s="153">
        <f>K195+K199+K201+K202+K203+K204+K208+K216+K218+K223+K224+K225+K226+K227+K231+K235+K215</f>
        <v>216505</v>
      </c>
      <c r="M194" s="76"/>
    </row>
    <row r="195" spans="1:14" s="12" customFormat="1" ht="49.5" customHeight="1" thickBot="1" thickTop="1">
      <c r="A195" s="219" t="s">
        <v>7</v>
      </c>
      <c r="B195" s="219" t="s">
        <v>118</v>
      </c>
      <c r="C195" s="154" t="s">
        <v>128</v>
      </c>
      <c r="D195" s="205">
        <v>15724.54</v>
      </c>
      <c r="E195" s="205">
        <v>307377.79</v>
      </c>
      <c r="F195" s="205">
        <v>408947.21</v>
      </c>
      <c r="G195" s="205"/>
      <c r="H195" s="198">
        <v>13924.54</v>
      </c>
      <c r="I195" s="198">
        <v>316457.72</v>
      </c>
      <c r="J195" s="198">
        <v>408947.21</v>
      </c>
      <c r="K195" s="198"/>
      <c r="M195" s="76"/>
      <c r="N195" s="75"/>
    </row>
    <row r="196" spans="1:14" s="12" customFormat="1" ht="49.5" customHeight="1" thickBot="1" thickTop="1">
      <c r="A196" s="219"/>
      <c r="B196" s="219"/>
      <c r="C196" s="154" t="s">
        <v>129</v>
      </c>
      <c r="D196" s="205"/>
      <c r="E196" s="205"/>
      <c r="F196" s="205"/>
      <c r="G196" s="205"/>
      <c r="H196" s="198"/>
      <c r="I196" s="198"/>
      <c r="J196" s="198"/>
      <c r="K196" s="198"/>
      <c r="M196" s="76"/>
      <c r="N196" s="75"/>
    </row>
    <row r="197" spans="1:14" s="12" customFormat="1" ht="49.5" customHeight="1" thickBot="1" thickTop="1">
      <c r="A197" s="219"/>
      <c r="B197" s="219"/>
      <c r="C197" s="154" t="s">
        <v>130</v>
      </c>
      <c r="D197" s="205"/>
      <c r="E197" s="205"/>
      <c r="F197" s="205"/>
      <c r="G197" s="205"/>
      <c r="H197" s="198"/>
      <c r="I197" s="198"/>
      <c r="J197" s="198"/>
      <c r="K197" s="198"/>
      <c r="M197" s="76"/>
      <c r="N197" s="75"/>
    </row>
    <row r="198" spans="1:14" s="12" customFormat="1" ht="49.5" customHeight="1" thickBot="1" thickTop="1">
      <c r="A198" s="219"/>
      <c r="B198" s="219"/>
      <c r="C198" s="155" t="s">
        <v>131</v>
      </c>
      <c r="D198" s="205"/>
      <c r="E198" s="205"/>
      <c r="F198" s="205"/>
      <c r="G198" s="205"/>
      <c r="H198" s="198"/>
      <c r="I198" s="198"/>
      <c r="J198" s="198"/>
      <c r="K198" s="198"/>
      <c r="M198" s="76"/>
      <c r="N198" s="75"/>
    </row>
    <row r="199" spans="1:14" s="12" customFormat="1" ht="49.5" customHeight="1" thickBot="1" thickTop="1">
      <c r="A199" s="219"/>
      <c r="B199" s="219" t="s">
        <v>119</v>
      </c>
      <c r="C199" s="156" t="s">
        <v>129</v>
      </c>
      <c r="D199" s="205">
        <v>10377.62</v>
      </c>
      <c r="E199" s="205">
        <v>82539.1</v>
      </c>
      <c r="F199" s="205">
        <v>134598.39</v>
      </c>
      <c r="G199" s="205"/>
      <c r="H199" s="198">
        <v>8877.62</v>
      </c>
      <c r="I199" s="198">
        <v>91586.94</v>
      </c>
      <c r="J199" s="198">
        <v>134598.39</v>
      </c>
      <c r="K199" s="198"/>
      <c r="M199" s="76"/>
      <c r="N199" s="75"/>
    </row>
    <row r="200" spans="1:14" s="12" customFormat="1" ht="49.5" customHeight="1" thickBot="1" thickTop="1">
      <c r="A200" s="219"/>
      <c r="B200" s="219"/>
      <c r="C200" s="155" t="s">
        <v>131</v>
      </c>
      <c r="D200" s="205"/>
      <c r="E200" s="205"/>
      <c r="F200" s="205"/>
      <c r="G200" s="205"/>
      <c r="H200" s="198"/>
      <c r="I200" s="198"/>
      <c r="J200" s="198"/>
      <c r="K200" s="198"/>
      <c r="M200" s="76"/>
      <c r="N200" s="75"/>
    </row>
    <row r="201" spans="1:14" s="12" customFormat="1" ht="49.5" customHeight="1" thickBot="1" thickTop="1">
      <c r="A201" s="219"/>
      <c r="B201" s="195" t="s">
        <v>126</v>
      </c>
      <c r="C201" s="155" t="s">
        <v>131</v>
      </c>
      <c r="D201" s="196">
        <v>11884.25</v>
      </c>
      <c r="E201" s="196">
        <v>54429.27</v>
      </c>
      <c r="F201" s="196">
        <v>69744.15</v>
      </c>
      <c r="G201" s="196"/>
      <c r="H201" s="146">
        <v>10384.25</v>
      </c>
      <c r="I201" s="146">
        <v>65615.76</v>
      </c>
      <c r="J201" s="146">
        <v>69744.15</v>
      </c>
      <c r="K201" s="146"/>
      <c r="M201" s="76"/>
      <c r="N201" s="75"/>
    </row>
    <row r="202" spans="1:13" s="12" customFormat="1" ht="49.5" customHeight="1" thickBot="1" thickTop="1">
      <c r="A202" s="219"/>
      <c r="B202" s="195" t="s">
        <v>127</v>
      </c>
      <c r="C202" s="155" t="s">
        <v>131</v>
      </c>
      <c r="D202" s="196">
        <v>4750</v>
      </c>
      <c r="E202" s="196">
        <v>51526.28</v>
      </c>
      <c r="F202" s="196">
        <v>74397.11</v>
      </c>
      <c r="G202" s="196"/>
      <c r="H202" s="146">
        <v>4750</v>
      </c>
      <c r="I202" s="146">
        <v>53286.58</v>
      </c>
      <c r="J202" s="146">
        <v>74397.11</v>
      </c>
      <c r="K202" s="146"/>
      <c r="M202" s="76"/>
    </row>
    <row r="203" spans="1:13" s="12" customFormat="1" ht="69.75" customHeight="1" thickBot="1" thickTop="1">
      <c r="A203" s="219" t="s">
        <v>105</v>
      </c>
      <c r="B203" s="195" t="s">
        <v>120</v>
      </c>
      <c r="C203" s="166" t="s">
        <v>132</v>
      </c>
      <c r="D203" s="196">
        <v>329767.49</v>
      </c>
      <c r="E203" s="196">
        <v>52998.76</v>
      </c>
      <c r="F203" s="196">
        <v>80297.7</v>
      </c>
      <c r="G203" s="196"/>
      <c r="H203" s="146">
        <v>337068.49</v>
      </c>
      <c r="I203" s="146">
        <v>53675.2</v>
      </c>
      <c r="J203" s="146">
        <v>80297.7</v>
      </c>
      <c r="K203" s="146"/>
      <c r="M203" s="76"/>
    </row>
    <row r="204" spans="1:13" s="12" customFormat="1" ht="69.75" customHeight="1" thickBot="1" thickTop="1">
      <c r="A204" s="219"/>
      <c r="B204" s="195" t="s">
        <v>6</v>
      </c>
      <c r="C204" s="156" t="s">
        <v>133</v>
      </c>
      <c r="D204" s="193">
        <v>9311.75</v>
      </c>
      <c r="E204" s="193">
        <v>27988.62</v>
      </c>
      <c r="F204" s="193">
        <v>70347.45</v>
      </c>
      <c r="G204" s="193"/>
      <c r="H204" s="194">
        <v>7811.75</v>
      </c>
      <c r="I204" s="194">
        <v>37889.42</v>
      </c>
      <c r="J204" s="194">
        <v>70347.45</v>
      </c>
      <c r="K204" s="194"/>
      <c r="M204" s="76"/>
    </row>
    <row r="205" spans="1:11" s="12" customFormat="1" ht="18" customHeight="1" thickBot="1" thickTop="1">
      <c r="A205" s="220" t="s">
        <v>0</v>
      </c>
      <c r="B205" s="220"/>
      <c r="C205" s="220"/>
      <c r="D205" s="216" t="s">
        <v>23</v>
      </c>
      <c r="E205" s="216"/>
      <c r="F205" s="216"/>
      <c r="G205" s="216"/>
      <c r="H205" s="216"/>
      <c r="I205" s="216"/>
      <c r="J205" s="216"/>
      <c r="K205" s="216"/>
    </row>
    <row r="206" spans="1:11" s="12" customFormat="1" ht="18" customHeight="1" thickBot="1" thickTop="1">
      <c r="A206" s="220"/>
      <c r="B206" s="220"/>
      <c r="C206" s="220"/>
      <c r="D206" s="217" t="s">
        <v>114</v>
      </c>
      <c r="E206" s="217"/>
      <c r="F206" s="217"/>
      <c r="G206" s="217"/>
      <c r="H206" s="218" t="s">
        <v>115</v>
      </c>
      <c r="I206" s="218"/>
      <c r="J206" s="218"/>
      <c r="K206" s="218"/>
    </row>
    <row r="207" spans="1:11" s="12" customFormat="1" ht="44.25" customHeight="1" thickBot="1" thickTop="1">
      <c r="A207" s="220"/>
      <c r="B207" s="220"/>
      <c r="C207" s="220"/>
      <c r="D207" s="136" t="s">
        <v>163</v>
      </c>
      <c r="E207" s="136" t="s">
        <v>157</v>
      </c>
      <c r="F207" s="136" t="s">
        <v>27</v>
      </c>
      <c r="G207" s="136" t="s">
        <v>30</v>
      </c>
      <c r="H207" s="137" t="s">
        <v>163</v>
      </c>
      <c r="I207" s="137" t="s">
        <v>157</v>
      </c>
      <c r="J207" s="137" t="s">
        <v>27</v>
      </c>
      <c r="K207" s="137" t="s">
        <v>30</v>
      </c>
    </row>
    <row r="208" spans="1:11" s="12" customFormat="1" ht="49.5" customHeight="1" thickBot="1" thickTop="1">
      <c r="A208" s="221" t="s">
        <v>162</v>
      </c>
      <c r="B208" s="221" t="s">
        <v>123</v>
      </c>
      <c r="C208" s="156" t="s">
        <v>134</v>
      </c>
      <c r="D208" s="205">
        <v>11050</v>
      </c>
      <c r="E208" s="205">
        <v>1255410.41</v>
      </c>
      <c r="F208" s="205">
        <v>217207.72</v>
      </c>
      <c r="G208" s="205"/>
      <c r="H208" s="198">
        <v>11050</v>
      </c>
      <c r="I208" s="198">
        <v>828934.64</v>
      </c>
      <c r="J208" s="198">
        <v>217207.72</v>
      </c>
      <c r="K208" s="198"/>
    </row>
    <row r="209" spans="1:11" s="12" customFormat="1" ht="69.75" customHeight="1" thickBot="1" thickTop="1">
      <c r="A209" s="222"/>
      <c r="B209" s="222"/>
      <c r="C209" s="156" t="s">
        <v>135</v>
      </c>
      <c r="D209" s="205"/>
      <c r="E209" s="205"/>
      <c r="F209" s="205"/>
      <c r="G209" s="205"/>
      <c r="H209" s="198"/>
      <c r="I209" s="198"/>
      <c r="J209" s="198"/>
      <c r="K209" s="198"/>
    </row>
    <row r="210" spans="1:11" s="12" customFormat="1" ht="49.5" customHeight="1" thickBot="1" thickTop="1">
      <c r="A210" s="222"/>
      <c r="B210" s="222"/>
      <c r="C210" s="157" t="s">
        <v>136</v>
      </c>
      <c r="D210" s="205"/>
      <c r="E210" s="205"/>
      <c r="F210" s="205"/>
      <c r="G210" s="205"/>
      <c r="H210" s="198"/>
      <c r="I210" s="198"/>
      <c r="J210" s="198"/>
      <c r="K210" s="198"/>
    </row>
    <row r="211" spans="1:11" s="12" customFormat="1" ht="49.5" customHeight="1" thickBot="1" thickTop="1">
      <c r="A211" s="223"/>
      <c r="B211" s="223"/>
      <c r="C211" s="156" t="s">
        <v>137</v>
      </c>
      <c r="D211" s="205"/>
      <c r="E211" s="205"/>
      <c r="F211" s="205"/>
      <c r="G211" s="205"/>
      <c r="H211" s="198"/>
      <c r="I211" s="198"/>
      <c r="J211" s="198"/>
      <c r="K211" s="198"/>
    </row>
    <row r="212" spans="1:11" s="12" customFormat="1" ht="49.5" customHeight="1" thickBot="1" thickTop="1">
      <c r="A212" s="219" t="s">
        <v>47</v>
      </c>
      <c r="B212" s="210" t="s">
        <v>123</v>
      </c>
      <c r="C212" s="156" t="s">
        <v>138</v>
      </c>
      <c r="D212" s="205"/>
      <c r="E212" s="205"/>
      <c r="F212" s="205"/>
      <c r="G212" s="205"/>
      <c r="H212" s="198"/>
      <c r="I212" s="198"/>
      <c r="J212" s="198"/>
      <c r="K212" s="198"/>
    </row>
    <row r="213" spans="1:11" s="12" customFormat="1" ht="49.5" customHeight="1" thickBot="1" thickTop="1">
      <c r="A213" s="219"/>
      <c r="B213" s="210"/>
      <c r="C213" s="156" t="s">
        <v>139</v>
      </c>
      <c r="D213" s="205"/>
      <c r="E213" s="205"/>
      <c r="F213" s="205"/>
      <c r="G213" s="205"/>
      <c r="H213" s="198"/>
      <c r="I213" s="198"/>
      <c r="J213" s="198"/>
      <c r="K213" s="198"/>
    </row>
    <row r="214" spans="1:11" s="12" customFormat="1" ht="49.5" customHeight="1" thickBot="1" thickTop="1">
      <c r="A214" s="219"/>
      <c r="B214" s="210"/>
      <c r="C214" s="156" t="s">
        <v>140</v>
      </c>
      <c r="D214" s="205"/>
      <c r="E214" s="205"/>
      <c r="F214" s="205"/>
      <c r="G214" s="205"/>
      <c r="H214" s="198"/>
      <c r="I214" s="198"/>
      <c r="J214" s="198"/>
      <c r="K214" s="198"/>
    </row>
    <row r="215" spans="1:17" ht="88.5" customHeight="1" thickBot="1" thickTop="1">
      <c r="A215" s="219"/>
      <c r="B215" s="195" t="s">
        <v>160</v>
      </c>
      <c r="C215" s="156" t="s">
        <v>156</v>
      </c>
      <c r="D215" s="193">
        <v>8950</v>
      </c>
      <c r="E215" s="193">
        <v>122560.74</v>
      </c>
      <c r="F215" s="193">
        <v>100753.11</v>
      </c>
      <c r="G215" s="193">
        <v>6730</v>
      </c>
      <c r="H215" s="194">
        <v>8950</v>
      </c>
      <c r="I215" s="194">
        <v>122560.74</v>
      </c>
      <c r="J215" s="194">
        <v>100753.15</v>
      </c>
      <c r="K215" s="194">
        <v>6730</v>
      </c>
      <c r="L215" s="12"/>
      <c r="M215" s="177"/>
      <c r="N215" s="4"/>
      <c r="O215" s="4"/>
      <c r="P215" s="4"/>
      <c r="Q215" s="80"/>
    </row>
    <row r="216" spans="1:11" s="12" customFormat="1" ht="49.5" customHeight="1" thickBot="1" thickTop="1">
      <c r="A216" s="219"/>
      <c r="B216" s="219" t="s">
        <v>161</v>
      </c>
      <c r="C216" s="156" t="s">
        <v>158</v>
      </c>
      <c r="D216" s="205"/>
      <c r="E216" s="205"/>
      <c r="F216" s="205"/>
      <c r="G216" s="205"/>
      <c r="H216" s="198">
        <v>58500</v>
      </c>
      <c r="I216" s="198"/>
      <c r="J216" s="198"/>
      <c r="K216" s="198"/>
    </row>
    <row r="217" spans="1:11" s="12" customFormat="1" ht="49.5" customHeight="1" thickBot="1" thickTop="1">
      <c r="A217" s="219"/>
      <c r="B217" s="219"/>
      <c r="C217" s="156" t="s">
        <v>159</v>
      </c>
      <c r="D217" s="205"/>
      <c r="E217" s="205"/>
      <c r="F217" s="205"/>
      <c r="G217" s="205"/>
      <c r="H217" s="198"/>
      <c r="I217" s="198"/>
      <c r="J217" s="198"/>
      <c r="K217" s="198"/>
    </row>
    <row r="218" spans="1:11" s="12" customFormat="1" ht="49.5" customHeight="1" thickBot="1" thickTop="1">
      <c r="A218" s="219"/>
      <c r="B218" s="210" t="s">
        <v>155</v>
      </c>
      <c r="C218" s="155" t="s">
        <v>46</v>
      </c>
      <c r="D218" s="205"/>
      <c r="E218" s="205"/>
      <c r="F218" s="205"/>
      <c r="G218" s="205"/>
      <c r="H218" s="198"/>
      <c r="I218" s="198"/>
      <c r="J218" s="198"/>
      <c r="K218" s="198"/>
    </row>
    <row r="219" spans="1:11" s="12" customFormat="1" ht="49.5" customHeight="1" thickBot="1" thickTop="1">
      <c r="A219" s="219"/>
      <c r="B219" s="210"/>
      <c r="C219" s="154" t="s">
        <v>141</v>
      </c>
      <c r="D219" s="205"/>
      <c r="E219" s="205"/>
      <c r="F219" s="205"/>
      <c r="G219" s="205"/>
      <c r="H219" s="198"/>
      <c r="I219" s="198"/>
      <c r="J219" s="198"/>
      <c r="K219" s="198"/>
    </row>
    <row r="220" spans="1:11" s="12" customFormat="1" ht="18" customHeight="1" thickBot="1" thickTop="1">
      <c r="A220" s="215" t="s">
        <v>0</v>
      </c>
      <c r="B220" s="215"/>
      <c r="C220" s="215"/>
      <c r="D220" s="216" t="s">
        <v>23</v>
      </c>
      <c r="E220" s="216"/>
      <c r="F220" s="216"/>
      <c r="G220" s="216"/>
      <c r="H220" s="216"/>
      <c r="I220" s="216"/>
      <c r="J220" s="216"/>
      <c r="K220" s="216"/>
    </row>
    <row r="221" spans="1:11" s="12" customFormat="1" ht="18" customHeight="1" thickBot="1" thickTop="1">
      <c r="A221" s="215"/>
      <c r="B221" s="215"/>
      <c r="C221" s="215"/>
      <c r="D221" s="217" t="s">
        <v>114</v>
      </c>
      <c r="E221" s="217"/>
      <c r="F221" s="217"/>
      <c r="G221" s="217"/>
      <c r="H221" s="218" t="s">
        <v>115</v>
      </c>
      <c r="I221" s="218"/>
      <c r="J221" s="218"/>
      <c r="K221" s="218"/>
    </row>
    <row r="222" spans="1:11" s="12" customFormat="1" ht="43.5" customHeight="1" thickBot="1" thickTop="1">
      <c r="A222" s="215"/>
      <c r="B222" s="215"/>
      <c r="C222" s="215"/>
      <c r="D222" s="136" t="s">
        <v>163</v>
      </c>
      <c r="E222" s="136" t="s">
        <v>157</v>
      </c>
      <c r="F222" s="136" t="s">
        <v>27</v>
      </c>
      <c r="G222" s="136" t="s">
        <v>30</v>
      </c>
      <c r="H222" s="137" t="s">
        <v>163</v>
      </c>
      <c r="I222" s="137" t="s">
        <v>157</v>
      </c>
      <c r="J222" s="137" t="s">
        <v>27</v>
      </c>
      <c r="K222" s="137" t="s">
        <v>30</v>
      </c>
    </row>
    <row r="223" spans="1:13" s="12" customFormat="1" ht="69" customHeight="1" thickBot="1" thickTop="1">
      <c r="A223" s="210" t="s">
        <v>153</v>
      </c>
      <c r="B223" s="192" t="s">
        <v>124</v>
      </c>
      <c r="C223" s="154" t="s">
        <v>142</v>
      </c>
      <c r="D223" s="196">
        <v>10729.28</v>
      </c>
      <c r="E223" s="196">
        <v>122773.35</v>
      </c>
      <c r="F223" s="196">
        <v>165524.36</v>
      </c>
      <c r="G223" s="196"/>
      <c r="H223" s="146">
        <v>9029.28</v>
      </c>
      <c r="I223" s="146">
        <v>131698.81</v>
      </c>
      <c r="J223" s="146">
        <v>165524.36</v>
      </c>
      <c r="K223" s="146"/>
      <c r="M223" s="76"/>
    </row>
    <row r="224" spans="1:13" s="12" customFormat="1" ht="44.25" customHeight="1" thickBot="1" thickTop="1">
      <c r="A224" s="210"/>
      <c r="B224" s="210" t="s">
        <v>154</v>
      </c>
      <c r="C224" s="154" t="s">
        <v>165</v>
      </c>
      <c r="D224" s="196"/>
      <c r="E224" s="196">
        <v>1537732.62</v>
      </c>
      <c r="F224" s="212">
        <v>79911.45</v>
      </c>
      <c r="G224" s="212"/>
      <c r="H224" s="146"/>
      <c r="I224" s="146">
        <v>1557137.37</v>
      </c>
      <c r="J224" s="202">
        <v>79911.45</v>
      </c>
      <c r="K224" s="202"/>
      <c r="M224" s="76"/>
    </row>
    <row r="225" spans="1:13" s="12" customFormat="1" ht="31.5" customHeight="1" thickBot="1" thickTop="1">
      <c r="A225" s="210"/>
      <c r="B225" s="210"/>
      <c r="C225" s="156" t="s">
        <v>143</v>
      </c>
      <c r="D225" s="196">
        <v>3000</v>
      </c>
      <c r="E225" s="196">
        <v>11030</v>
      </c>
      <c r="F225" s="213"/>
      <c r="G225" s="213"/>
      <c r="H225" s="146">
        <v>3000</v>
      </c>
      <c r="I225" s="146">
        <v>11030</v>
      </c>
      <c r="J225" s="203"/>
      <c r="K225" s="203"/>
      <c r="M225" s="76"/>
    </row>
    <row r="226" spans="1:13" s="12" customFormat="1" ht="31.5" customHeight="1" thickBot="1" thickTop="1">
      <c r="A226" s="210"/>
      <c r="B226" s="210"/>
      <c r="C226" s="156" t="s">
        <v>164</v>
      </c>
      <c r="D226" s="196"/>
      <c r="E226" s="196">
        <v>30121.25</v>
      </c>
      <c r="F226" s="214"/>
      <c r="G226" s="214"/>
      <c r="H226" s="146"/>
      <c r="I226" s="146">
        <v>30121.25</v>
      </c>
      <c r="J226" s="204"/>
      <c r="K226" s="204"/>
      <c r="M226" s="76"/>
    </row>
    <row r="227" spans="1:13" s="12" customFormat="1" ht="31.5" customHeight="1" thickBot="1" thickTop="1">
      <c r="A227" s="210" t="s">
        <v>104</v>
      </c>
      <c r="B227" s="210" t="s">
        <v>48</v>
      </c>
      <c r="C227" s="173" t="s">
        <v>144</v>
      </c>
      <c r="D227" s="147"/>
      <c r="E227" s="147">
        <f>E228+E229+E230</f>
        <v>0</v>
      </c>
      <c r="F227" s="211">
        <v>287423.58</v>
      </c>
      <c r="G227" s="212"/>
      <c r="H227" s="148"/>
      <c r="I227" s="148">
        <f>I228+I229+I230</f>
        <v>0</v>
      </c>
      <c r="J227" s="198">
        <v>287423.58</v>
      </c>
      <c r="K227" s="202"/>
      <c r="M227" s="76"/>
    </row>
    <row r="228" spans="1:13" s="12" customFormat="1" ht="31.5" customHeight="1" thickBot="1" thickTop="1">
      <c r="A228" s="210"/>
      <c r="B228" s="210"/>
      <c r="C228" s="155" t="s">
        <v>145</v>
      </c>
      <c r="D228" s="196"/>
      <c r="E228" s="196"/>
      <c r="F228" s="211"/>
      <c r="G228" s="213"/>
      <c r="H228" s="146"/>
      <c r="I228" s="146"/>
      <c r="J228" s="198"/>
      <c r="K228" s="203"/>
      <c r="M228" s="76"/>
    </row>
    <row r="229" spans="1:13" s="12" customFormat="1" ht="31.5" customHeight="1" thickBot="1" thickTop="1">
      <c r="A229" s="210"/>
      <c r="B229" s="210"/>
      <c r="C229" s="155" t="s">
        <v>146</v>
      </c>
      <c r="D229" s="196"/>
      <c r="E229" s="196"/>
      <c r="F229" s="211"/>
      <c r="G229" s="213"/>
      <c r="H229" s="146"/>
      <c r="I229" s="146"/>
      <c r="J229" s="198"/>
      <c r="K229" s="203"/>
      <c r="M229" s="76"/>
    </row>
    <row r="230" spans="1:13" s="12" customFormat="1" ht="31.5" customHeight="1" thickBot="1" thickTop="1">
      <c r="A230" s="210"/>
      <c r="B230" s="210"/>
      <c r="C230" s="156" t="s">
        <v>143</v>
      </c>
      <c r="D230" s="196"/>
      <c r="E230" s="196"/>
      <c r="F230" s="211"/>
      <c r="G230" s="213"/>
      <c r="H230" s="146"/>
      <c r="I230" s="146"/>
      <c r="J230" s="198"/>
      <c r="K230" s="203"/>
      <c r="M230" s="76"/>
    </row>
    <row r="231" spans="1:13" s="12" customFormat="1" ht="31.5" customHeight="1" thickBot="1" thickTop="1">
      <c r="A231" s="210"/>
      <c r="B231" s="210"/>
      <c r="C231" s="158" t="s">
        <v>147</v>
      </c>
      <c r="D231" s="147">
        <f>D232+D233+D234</f>
        <v>3000</v>
      </c>
      <c r="E231" s="147">
        <f>E232+E233+E234</f>
        <v>6104244.61</v>
      </c>
      <c r="F231" s="211"/>
      <c r="G231" s="213"/>
      <c r="H231" s="148"/>
      <c r="I231" s="148">
        <f>I232+I233+I234</f>
        <v>6104347.28</v>
      </c>
      <c r="J231" s="198"/>
      <c r="K231" s="203"/>
      <c r="M231" s="76"/>
    </row>
    <row r="232" spans="1:13" s="12" customFormat="1" ht="31.5" customHeight="1" thickBot="1" thickTop="1">
      <c r="A232" s="210"/>
      <c r="B232" s="210"/>
      <c r="C232" s="155" t="s">
        <v>148</v>
      </c>
      <c r="D232" s="196"/>
      <c r="E232" s="196">
        <v>1148400</v>
      </c>
      <c r="F232" s="211"/>
      <c r="G232" s="213"/>
      <c r="H232" s="146"/>
      <c r="I232" s="146">
        <v>1148400</v>
      </c>
      <c r="J232" s="198"/>
      <c r="K232" s="203"/>
      <c r="M232" s="76"/>
    </row>
    <row r="233" spans="1:13" s="12" customFormat="1" ht="31.5" customHeight="1" thickBot="1" thickTop="1">
      <c r="A233" s="210"/>
      <c r="B233" s="210"/>
      <c r="C233" s="155" t="s">
        <v>149</v>
      </c>
      <c r="D233" s="196"/>
      <c r="E233" s="196">
        <v>4867800</v>
      </c>
      <c r="F233" s="211"/>
      <c r="G233" s="213"/>
      <c r="H233" s="146"/>
      <c r="I233" s="146">
        <v>4867800</v>
      </c>
      <c r="J233" s="198"/>
      <c r="K233" s="203"/>
      <c r="M233" s="76"/>
    </row>
    <row r="234" spans="1:13" s="12" customFormat="1" ht="31.5" customHeight="1" thickBot="1" thickTop="1">
      <c r="A234" s="210"/>
      <c r="B234" s="210"/>
      <c r="C234" s="156" t="s">
        <v>143</v>
      </c>
      <c r="D234" s="196">
        <v>3000</v>
      </c>
      <c r="E234" s="196">
        <v>88044.61</v>
      </c>
      <c r="F234" s="211"/>
      <c r="G234" s="214"/>
      <c r="H234" s="146"/>
      <c r="I234" s="146">
        <v>88147.28</v>
      </c>
      <c r="J234" s="198"/>
      <c r="K234" s="204"/>
      <c r="M234" s="76"/>
    </row>
    <row r="235" spans="1:13" s="12" customFormat="1" ht="38.25" customHeight="1" thickBot="1" thickTop="1">
      <c r="A235" s="208" t="s">
        <v>43</v>
      </c>
      <c r="B235" s="209"/>
      <c r="C235" s="156" t="s">
        <v>150</v>
      </c>
      <c r="D235" s="196">
        <v>525441.03</v>
      </c>
      <c r="E235" s="196"/>
      <c r="F235" s="196">
        <v>1398619.26</v>
      </c>
      <c r="G235" s="196">
        <v>300000</v>
      </c>
      <c r="H235" s="146">
        <v>463732.24</v>
      </c>
      <c r="I235" s="146"/>
      <c r="J235" s="146">
        <v>1398619.26</v>
      </c>
      <c r="K235" s="146">
        <v>209775</v>
      </c>
      <c r="M235" s="76"/>
    </row>
    <row r="236" spans="1:13" ht="31.5" customHeight="1" thickBot="1" thickTop="1">
      <c r="A236" s="208"/>
      <c r="B236" s="209"/>
      <c r="C236" s="156" t="s">
        <v>152</v>
      </c>
      <c r="D236" s="196"/>
      <c r="E236" s="196"/>
      <c r="F236" s="193">
        <v>92631.6</v>
      </c>
      <c r="G236" s="196"/>
      <c r="H236" s="194"/>
      <c r="I236" s="194"/>
      <c r="J236" s="146">
        <v>92631.6</v>
      </c>
      <c r="K236" s="146"/>
      <c r="L236" s="12"/>
      <c r="M236" s="76"/>
    </row>
    <row r="237" spans="1:13" ht="31.5" customHeight="1" thickBot="1" thickTop="1">
      <c r="A237" s="197"/>
      <c r="B237"/>
      <c r="C237"/>
      <c r="D237"/>
      <c r="E237"/>
      <c r="F237"/>
      <c r="G237"/>
      <c r="H237"/>
      <c r="I237"/>
      <c r="J237"/>
      <c r="K237"/>
      <c r="L237" s="12"/>
      <c r="M237" s="76"/>
    </row>
    <row r="238" spans="1:11" s="12" customFormat="1" ht="18" customHeight="1" thickBot="1" thickTop="1">
      <c r="A238" s="220" t="s">
        <v>0</v>
      </c>
      <c r="B238" s="220"/>
      <c r="C238" s="220"/>
      <c r="D238" s="216" t="s">
        <v>23</v>
      </c>
      <c r="E238" s="216"/>
      <c r="F238" s="216"/>
      <c r="G238" s="216"/>
      <c r="H238" s="216"/>
      <c r="I238" s="216"/>
      <c r="J238" s="216"/>
      <c r="K238" s="216"/>
    </row>
    <row r="239" spans="1:11" s="12" customFormat="1" ht="18" customHeight="1" thickBot="1" thickTop="1">
      <c r="A239" s="220"/>
      <c r="B239" s="220"/>
      <c r="C239" s="220"/>
      <c r="D239" s="217" t="s">
        <v>116</v>
      </c>
      <c r="E239" s="217"/>
      <c r="F239" s="217"/>
      <c r="G239" s="217"/>
      <c r="H239" s="218" t="s">
        <v>117</v>
      </c>
      <c r="I239" s="218"/>
      <c r="J239" s="218"/>
      <c r="K239" s="218"/>
    </row>
    <row r="240" spans="1:11" s="12" customFormat="1" ht="44.25" customHeight="1" thickBot="1" thickTop="1">
      <c r="A240" s="220"/>
      <c r="B240" s="220"/>
      <c r="C240" s="220"/>
      <c r="D240" s="136" t="s">
        <v>163</v>
      </c>
      <c r="E240" s="136" t="s">
        <v>157</v>
      </c>
      <c r="F240" s="136" t="s">
        <v>27</v>
      </c>
      <c r="G240" s="136" t="s">
        <v>30</v>
      </c>
      <c r="H240" s="137" t="s">
        <v>163</v>
      </c>
      <c r="I240" s="137" t="s">
        <v>157</v>
      </c>
      <c r="J240" s="137" t="s">
        <v>27</v>
      </c>
      <c r="K240" s="137" t="s">
        <v>30</v>
      </c>
    </row>
    <row r="241" spans="1:13" s="12" customFormat="1" ht="33" customHeight="1" thickBot="1" thickTop="1">
      <c r="A241" s="220"/>
      <c r="B241" s="220"/>
      <c r="C241" s="220"/>
      <c r="D241" s="152">
        <f>D242+D246+D248+D249+D250+D251+D255+D263+D265+D270+D271+D272+D273+D274+D278+D282+D262</f>
        <v>703074.3</v>
      </c>
      <c r="E241" s="152">
        <f>E242+E246+E248+E249+E250+E251+E255+E263+E265+E270+E271+E272+E273+E274+E278+E282+E262</f>
        <v>9398537.770000001</v>
      </c>
      <c r="F241" s="152">
        <f>F242+F246+F248+F249+F250+F251+F255+F263+F265+F270+F271+F272+F273+F274+F278+F282+F262+F283</f>
        <v>3200403.13</v>
      </c>
      <c r="G241" s="152">
        <f>G242+G246+G248+G249+G250+G251+G255+G263+G265+G270+G271+G272+G273+G274+G278+G282+G262</f>
        <v>6730</v>
      </c>
      <c r="H241" s="153">
        <f>H242+H246+H248+H249+H250+H251+H255+H263+H265+H270+H271+H272+H273+H274+H278+H282+H262</f>
        <v>699364.68</v>
      </c>
      <c r="I241" s="153">
        <f>I242+I246+I248+I249+I250+I251+I255+I263+I265+I270+I271+I272+I273+I274+I278+I282+I262</f>
        <v>9113332.73</v>
      </c>
      <c r="J241" s="153">
        <f>J242+J246+J248+J249+J250+J251+J255+J263+J265+J270+J271+J272+J273+J274+J278+J282+J262+J283</f>
        <v>3383130.5900000003</v>
      </c>
      <c r="K241" s="153">
        <f>K242+K246+K248+K249+K250+K251+K255+K263+K265+K270+K271+K272+K273+K274+K278+K282+K262</f>
        <v>6730</v>
      </c>
      <c r="M241" s="76"/>
    </row>
    <row r="242" spans="1:14" s="12" customFormat="1" ht="49.5" customHeight="1" thickBot="1" thickTop="1">
      <c r="A242" s="219" t="s">
        <v>7</v>
      </c>
      <c r="B242" s="219" t="s">
        <v>118</v>
      </c>
      <c r="C242" s="154" t="s">
        <v>128</v>
      </c>
      <c r="D242" s="205">
        <v>13924.54</v>
      </c>
      <c r="E242" s="205">
        <v>310821.1</v>
      </c>
      <c r="F242" s="205">
        <v>408947.21</v>
      </c>
      <c r="G242" s="205"/>
      <c r="H242" s="198">
        <v>13924.54</v>
      </c>
      <c r="I242" s="198">
        <v>317501.78</v>
      </c>
      <c r="J242" s="198">
        <v>431772.64</v>
      </c>
      <c r="K242" s="198"/>
      <c r="M242" s="76"/>
      <c r="N242" s="75"/>
    </row>
    <row r="243" spans="1:14" s="12" customFormat="1" ht="49.5" customHeight="1" thickBot="1" thickTop="1">
      <c r="A243" s="219"/>
      <c r="B243" s="219"/>
      <c r="C243" s="154" t="s">
        <v>129</v>
      </c>
      <c r="D243" s="205"/>
      <c r="E243" s="205"/>
      <c r="F243" s="205"/>
      <c r="G243" s="205"/>
      <c r="H243" s="198"/>
      <c r="I243" s="198"/>
      <c r="J243" s="198"/>
      <c r="K243" s="198"/>
      <c r="M243" s="76"/>
      <c r="N243" s="75"/>
    </row>
    <row r="244" spans="1:14" s="12" customFormat="1" ht="49.5" customHeight="1" thickBot="1" thickTop="1">
      <c r="A244" s="219"/>
      <c r="B244" s="219"/>
      <c r="C244" s="154" t="s">
        <v>130</v>
      </c>
      <c r="D244" s="205"/>
      <c r="E244" s="205"/>
      <c r="F244" s="205"/>
      <c r="G244" s="205"/>
      <c r="H244" s="198"/>
      <c r="I244" s="198"/>
      <c r="J244" s="198"/>
      <c r="K244" s="198"/>
      <c r="M244" s="76"/>
      <c r="N244" s="75"/>
    </row>
    <row r="245" spans="1:14" s="12" customFormat="1" ht="49.5" customHeight="1" thickBot="1" thickTop="1">
      <c r="A245" s="219"/>
      <c r="B245" s="219"/>
      <c r="C245" s="155" t="s">
        <v>131</v>
      </c>
      <c r="D245" s="205"/>
      <c r="E245" s="205"/>
      <c r="F245" s="205"/>
      <c r="G245" s="205"/>
      <c r="H245" s="198"/>
      <c r="I245" s="198"/>
      <c r="J245" s="198"/>
      <c r="K245" s="198"/>
      <c r="M245" s="76"/>
      <c r="N245" s="75"/>
    </row>
    <row r="246" spans="1:14" s="12" customFormat="1" ht="49.5" customHeight="1" thickBot="1" thickTop="1">
      <c r="A246" s="219"/>
      <c r="B246" s="219" t="s">
        <v>119</v>
      </c>
      <c r="C246" s="156" t="s">
        <v>129</v>
      </c>
      <c r="D246" s="205">
        <v>8877.62</v>
      </c>
      <c r="E246" s="205">
        <v>82222.67</v>
      </c>
      <c r="F246" s="205">
        <v>134598.39</v>
      </c>
      <c r="G246" s="205"/>
      <c r="H246" s="198">
        <v>8877.62</v>
      </c>
      <c r="I246" s="198">
        <v>81032.6</v>
      </c>
      <c r="J246" s="198">
        <v>145568.09</v>
      </c>
      <c r="K246" s="198"/>
      <c r="M246" s="76"/>
      <c r="N246" s="75"/>
    </row>
    <row r="247" spans="1:14" s="12" customFormat="1" ht="49.5" customHeight="1" thickBot="1" thickTop="1">
      <c r="A247" s="219"/>
      <c r="B247" s="219"/>
      <c r="C247" s="155" t="s">
        <v>131</v>
      </c>
      <c r="D247" s="205"/>
      <c r="E247" s="205"/>
      <c r="F247" s="205"/>
      <c r="G247" s="205"/>
      <c r="H247" s="198"/>
      <c r="I247" s="198"/>
      <c r="J247" s="198"/>
      <c r="K247" s="198"/>
      <c r="M247" s="76"/>
      <c r="N247" s="75"/>
    </row>
    <row r="248" spans="1:14" s="12" customFormat="1" ht="49.5" customHeight="1" thickBot="1" thickTop="1">
      <c r="A248" s="219"/>
      <c r="B248" s="195" t="s">
        <v>126</v>
      </c>
      <c r="C248" s="155" t="s">
        <v>131</v>
      </c>
      <c r="D248" s="196">
        <v>10384.25</v>
      </c>
      <c r="E248" s="196">
        <v>54745.68</v>
      </c>
      <c r="F248" s="196">
        <v>69744.15</v>
      </c>
      <c r="G248" s="196"/>
      <c r="H248" s="146">
        <v>10384.25</v>
      </c>
      <c r="I248" s="146">
        <v>54732.18</v>
      </c>
      <c r="J248" s="146">
        <v>74273.48</v>
      </c>
      <c r="K248" s="146"/>
      <c r="M248" s="76"/>
      <c r="N248" s="75"/>
    </row>
    <row r="249" spans="1:13" s="12" customFormat="1" ht="49.5" customHeight="1" thickBot="1" thickTop="1">
      <c r="A249" s="219"/>
      <c r="B249" s="195" t="s">
        <v>127</v>
      </c>
      <c r="C249" s="155" t="s">
        <v>131</v>
      </c>
      <c r="D249" s="196">
        <v>54750</v>
      </c>
      <c r="E249" s="196">
        <v>50578.63</v>
      </c>
      <c r="F249" s="196">
        <v>74397.11</v>
      </c>
      <c r="G249" s="196"/>
      <c r="H249" s="146">
        <v>54750</v>
      </c>
      <c r="I249" s="146">
        <v>51371.55</v>
      </c>
      <c r="J249" s="146">
        <v>77381.12</v>
      </c>
      <c r="K249" s="146"/>
      <c r="M249" s="76"/>
    </row>
    <row r="250" spans="1:13" s="12" customFormat="1" ht="69.75" customHeight="1" thickBot="1" thickTop="1">
      <c r="A250" s="219" t="s">
        <v>105</v>
      </c>
      <c r="B250" s="195" t="s">
        <v>120</v>
      </c>
      <c r="C250" s="166" t="s">
        <v>132</v>
      </c>
      <c r="D250" s="196">
        <v>3269.49</v>
      </c>
      <c r="E250" s="196">
        <v>53751.21</v>
      </c>
      <c r="F250" s="196">
        <v>80297.7</v>
      </c>
      <c r="G250" s="196"/>
      <c r="H250" s="146">
        <v>3270.49</v>
      </c>
      <c r="I250" s="146">
        <v>53603.49</v>
      </c>
      <c r="J250" s="146">
        <v>80118.14</v>
      </c>
      <c r="K250" s="146"/>
      <c r="M250" s="76"/>
    </row>
    <row r="251" spans="1:13" s="12" customFormat="1" ht="69.75" customHeight="1" thickBot="1" thickTop="1">
      <c r="A251" s="219"/>
      <c r="B251" s="195" t="s">
        <v>6</v>
      </c>
      <c r="C251" s="156" t="s">
        <v>133</v>
      </c>
      <c r="D251" s="193">
        <v>7811.75</v>
      </c>
      <c r="E251" s="193">
        <v>29188.42</v>
      </c>
      <c r="F251" s="193">
        <v>70347.45</v>
      </c>
      <c r="G251" s="193"/>
      <c r="H251" s="194">
        <v>7811.75</v>
      </c>
      <c r="I251" s="194">
        <v>28781.68</v>
      </c>
      <c r="J251" s="194">
        <v>75369.21</v>
      </c>
      <c r="K251" s="194"/>
      <c r="M251" s="76"/>
    </row>
    <row r="252" spans="1:11" s="12" customFormat="1" ht="18" customHeight="1" thickBot="1" thickTop="1">
      <c r="A252" s="220" t="s">
        <v>0</v>
      </c>
      <c r="B252" s="220"/>
      <c r="C252" s="220"/>
      <c r="D252" s="216" t="s">
        <v>23</v>
      </c>
      <c r="E252" s="216"/>
      <c r="F252" s="216"/>
      <c r="G252" s="216"/>
      <c r="H252" s="216"/>
      <c r="I252" s="216"/>
      <c r="J252" s="216"/>
      <c r="K252" s="216"/>
    </row>
    <row r="253" spans="1:11" s="12" customFormat="1" ht="18" customHeight="1" thickBot="1" thickTop="1">
      <c r="A253" s="220"/>
      <c r="B253" s="220"/>
      <c r="C253" s="220"/>
      <c r="D253" s="217" t="s">
        <v>116</v>
      </c>
      <c r="E253" s="217"/>
      <c r="F253" s="217"/>
      <c r="G253" s="217"/>
      <c r="H253" s="218" t="s">
        <v>117</v>
      </c>
      <c r="I253" s="218"/>
      <c r="J253" s="218"/>
      <c r="K253" s="218"/>
    </row>
    <row r="254" spans="1:11" s="12" customFormat="1" ht="44.25" customHeight="1" thickBot="1" thickTop="1">
      <c r="A254" s="220"/>
      <c r="B254" s="220"/>
      <c r="C254" s="220"/>
      <c r="D254" s="136" t="s">
        <v>163</v>
      </c>
      <c r="E254" s="136" t="s">
        <v>157</v>
      </c>
      <c r="F254" s="136" t="s">
        <v>27</v>
      </c>
      <c r="G254" s="136" t="s">
        <v>30</v>
      </c>
      <c r="H254" s="137" t="s">
        <v>163</v>
      </c>
      <c r="I254" s="137" t="s">
        <v>157</v>
      </c>
      <c r="J254" s="137" t="s">
        <v>27</v>
      </c>
      <c r="K254" s="137" t="s">
        <v>30</v>
      </c>
    </row>
    <row r="255" spans="1:11" s="12" customFormat="1" ht="49.5" customHeight="1" thickBot="1" thickTop="1">
      <c r="A255" s="221" t="s">
        <v>121</v>
      </c>
      <c r="B255" s="221" t="s">
        <v>123</v>
      </c>
      <c r="C255" s="156" t="s">
        <v>134</v>
      </c>
      <c r="D255" s="205">
        <v>11050</v>
      </c>
      <c r="E255" s="205">
        <v>829934.64</v>
      </c>
      <c r="F255" s="205">
        <v>217207.72</v>
      </c>
      <c r="G255" s="205"/>
      <c r="H255" s="198">
        <v>11050</v>
      </c>
      <c r="I255" s="198">
        <v>739960.25</v>
      </c>
      <c r="J255" s="198">
        <v>228772.23</v>
      </c>
      <c r="K255" s="198"/>
    </row>
    <row r="256" spans="1:11" s="12" customFormat="1" ht="69.75" customHeight="1" thickBot="1" thickTop="1">
      <c r="A256" s="222"/>
      <c r="B256" s="222"/>
      <c r="C256" s="156" t="s">
        <v>135</v>
      </c>
      <c r="D256" s="205"/>
      <c r="E256" s="205"/>
      <c r="F256" s="205"/>
      <c r="G256" s="205"/>
      <c r="H256" s="198"/>
      <c r="I256" s="198"/>
      <c r="J256" s="198"/>
      <c r="K256" s="198"/>
    </row>
    <row r="257" spans="1:11" s="12" customFormat="1" ht="49.5" customHeight="1" thickBot="1" thickTop="1">
      <c r="A257" s="222"/>
      <c r="B257" s="222"/>
      <c r="C257" s="157" t="s">
        <v>136</v>
      </c>
      <c r="D257" s="205"/>
      <c r="E257" s="205"/>
      <c r="F257" s="205"/>
      <c r="G257" s="205"/>
      <c r="H257" s="198"/>
      <c r="I257" s="198"/>
      <c r="J257" s="198"/>
      <c r="K257" s="198"/>
    </row>
    <row r="258" spans="1:11" s="12" customFormat="1" ht="49.5" customHeight="1" thickBot="1" thickTop="1">
      <c r="A258" s="223"/>
      <c r="B258" s="223"/>
      <c r="C258" s="156" t="s">
        <v>137</v>
      </c>
      <c r="D258" s="205"/>
      <c r="E258" s="205"/>
      <c r="F258" s="205"/>
      <c r="G258" s="205"/>
      <c r="H258" s="198"/>
      <c r="I258" s="198"/>
      <c r="J258" s="198"/>
      <c r="K258" s="198"/>
    </row>
    <row r="259" spans="1:11" s="12" customFormat="1" ht="49.5" customHeight="1" thickBot="1" thickTop="1">
      <c r="A259" s="219" t="s">
        <v>47</v>
      </c>
      <c r="B259" s="210" t="s">
        <v>123</v>
      </c>
      <c r="C259" s="156" t="s">
        <v>138</v>
      </c>
      <c r="D259" s="205"/>
      <c r="E259" s="205"/>
      <c r="F259" s="205"/>
      <c r="G259" s="205"/>
      <c r="H259" s="198"/>
      <c r="I259" s="198"/>
      <c r="J259" s="198"/>
      <c r="K259" s="198"/>
    </row>
    <row r="260" spans="1:11" s="12" customFormat="1" ht="49.5" customHeight="1" thickBot="1" thickTop="1">
      <c r="A260" s="219"/>
      <c r="B260" s="210"/>
      <c r="C260" s="156" t="s">
        <v>139</v>
      </c>
      <c r="D260" s="205"/>
      <c r="E260" s="205"/>
      <c r="F260" s="205"/>
      <c r="G260" s="205"/>
      <c r="H260" s="198"/>
      <c r="I260" s="198"/>
      <c r="J260" s="198"/>
      <c r="K260" s="198"/>
    </row>
    <row r="261" spans="1:11" s="12" customFormat="1" ht="49.5" customHeight="1" thickBot="1" thickTop="1">
      <c r="A261" s="219"/>
      <c r="B261" s="210"/>
      <c r="C261" s="156" t="s">
        <v>140</v>
      </c>
      <c r="D261" s="205"/>
      <c r="E261" s="205"/>
      <c r="F261" s="205"/>
      <c r="G261" s="205"/>
      <c r="H261" s="198"/>
      <c r="I261" s="198"/>
      <c r="J261" s="198"/>
      <c r="K261" s="198"/>
    </row>
    <row r="262" spans="1:17" ht="89.25" customHeight="1" thickBot="1" thickTop="1">
      <c r="A262" s="219"/>
      <c r="B262" s="195" t="s">
        <v>160</v>
      </c>
      <c r="C262" s="156" t="s">
        <v>156</v>
      </c>
      <c r="D262" s="193">
        <v>8950</v>
      </c>
      <c r="E262" s="193">
        <v>122560.74</v>
      </c>
      <c r="F262" s="193">
        <v>100753.15</v>
      </c>
      <c r="G262" s="193">
        <v>6730</v>
      </c>
      <c r="H262" s="194">
        <v>8950</v>
      </c>
      <c r="I262" s="194">
        <v>169560.74</v>
      </c>
      <c r="J262" s="194">
        <v>100753.15</v>
      </c>
      <c r="K262" s="194">
        <v>6730</v>
      </c>
      <c r="L262" s="12"/>
      <c r="M262" s="177"/>
      <c r="N262" s="4"/>
      <c r="O262" s="4"/>
      <c r="P262" s="4"/>
      <c r="Q262" s="80"/>
    </row>
    <row r="263" spans="1:11" s="12" customFormat="1" ht="49.5" customHeight="1" thickBot="1" thickTop="1">
      <c r="A263" s="219"/>
      <c r="B263" s="219" t="s">
        <v>161</v>
      </c>
      <c r="C263" s="156" t="s">
        <v>158</v>
      </c>
      <c r="D263" s="205">
        <v>79550</v>
      </c>
      <c r="E263" s="205"/>
      <c r="F263" s="205">
        <v>20000</v>
      </c>
      <c r="G263" s="205"/>
      <c r="H263" s="198">
        <v>81550</v>
      </c>
      <c r="I263" s="198"/>
      <c r="J263" s="198">
        <v>60000</v>
      </c>
      <c r="K263" s="198"/>
    </row>
    <row r="264" spans="1:11" s="12" customFormat="1" ht="49.5" customHeight="1" thickBot="1" thickTop="1">
      <c r="A264" s="219"/>
      <c r="B264" s="219"/>
      <c r="C264" s="156" t="s">
        <v>159</v>
      </c>
      <c r="D264" s="205"/>
      <c r="E264" s="205"/>
      <c r="F264" s="205"/>
      <c r="G264" s="205"/>
      <c r="H264" s="198"/>
      <c r="I264" s="198"/>
      <c r="J264" s="198"/>
      <c r="K264" s="198"/>
    </row>
    <row r="265" spans="1:11" s="12" customFormat="1" ht="49.5" customHeight="1" thickBot="1" thickTop="1">
      <c r="A265" s="219"/>
      <c r="B265" s="210" t="s">
        <v>155</v>
      </c>
      <c r="C265" s="155" t="s">
        <v>46</v>
      </c>
      <c r="D265" s="205"/>
      <c r="E265" s="205"/>
      <c r="F265" s="205"/>
      <c r="G265" s="205"/>
      <c r="H265" s="198"/>
      <c r="I265" s="198"/>
      <c r="J265" s="198"/>
      <c r="K265" s="198"/>
    </row>
    <row r="266" spans="1:11" s="12" customFormat="1" ht="49.5" customHeight="1" thickBot="1" thickTop="1">
      <c r="A266" s="219"/>
      <c r="B266" s="210"/>
      <c r="C266" s="154" t="s">
        <v>141</v>
      </c>
      <c r="D266" s="205"/>
      <c r="E266" s="205"/>
      <c r="F266" s="205"/>
      <c r="G266" s="205"/>
      <c r="H266" s="198"/>
      <c r="I266" s="198"/>
      <c r="J266" s="198"/>
      <c r="K266" s="198"/>
    </row>
    <row r="267" spans="1:11" s="12" customFormat="1" ht="18" customHeight="1" thickBot="1" thickTop="1">
      <c r="A267" s="215" t="s">
        <v>0</v>
      </c>
      <c r="B267" s="215"/>
      <c r="C267" s="215"/>
      <c r="D267" s="216" t="s">
        <v>23</v>
      </c>
      <c r="E267" s="216"/>
      <c r="F267" s="216"/>
      <c r="G267" s="216"/>
      <c r="H267" s="216"/>
      <c r="I267" s="216"/>
      <c r="J267" s="216"/>
      <c r="K267" s="216"/>
    </row>
    <row r="268" spans="1:11" s="12" customFormat="1" ht="18" customHeight="1" thickBot="1" thickTop="1">
      <c r="A268" s="215"/>
      <c r="B268" s="215"/>
      <c r="C268" s="215"/>
      <c r="D268" s="217" t="s">
        <v>116</v>
      </c>
      <c r="E268" s="217"/>
      <c r="F268" s="217"/>
      <c r="G268" s="217"/>
      <c r="H268" s="218" t="s">
        <v>117</v>
      </c>
      <c r="I268" s="218"/>
      <c r="J268" s="218"/>
      <c r="K268" s="218"/>
    </row>
    <row r="269" spans="1:11" s="12" customFormat="1" ht="43.5" customHeight="1" thickBot="1" thickTop="1">
      <c r="A269" s="215"/>
      <c r="B269" s="215"/>
      <c r="C269" s="215"/>
      <c r="D269" s="136" t="s">
        <v>163</v>
      </c>
      <c r="E269" s="136" t="s">
        <v>157</v>
      </c>
      <c r="F269" s="136" t="s">
        <v>27</v>
      </c>
      <c r="G269" s="136" t="s">
        <v>30</v>
      </c>
      <c r="H269" s="137" t="s">
        <v>163</v>
      </c>
      <c r="I269" s="137" t="s">
        <v>157</v>
      </c>
      <c r="J269" s="137" t="s">
        <v>27</v>
      </c>
      <c r="K269" s="137" t="s">
        <v>30</v>
      </c>
    </row>
    <row r="270" spans="1:13" s="12" customFormat="1" ht="69" customHeight="1" thickBot="1" thickTop="1">
      <c r="A270" s="210" t="s">
        <v>153</v>
      </c>
      <c r="B270" s="192" t="s">
        <v>124</v>
      </c>
      <c r="C270" s="154" t="s">
        <v>142</v>
      </c>
      <c r="D270" s="196">
        <v>9029.28</v>
      </c>
      <c r="E270" s="196">
        <v>129929.25</v>
      </c>
      <c r="F270" s="196">
        <v>165524.36</v>
      </c>
      <c r="G270" s="196"/>
      <c r="H270" s="146">
        <v>9029.28</v>
      </c>
      <c r="I270" s="146">
        <v>124463.9</v>
      </c>
      <c r="J270" s="146">
        <v>171632.77</v>
      </c>
      <c r="K270" s="146"/>
      <c r="M270" s="76"/>
    </row>
    <row r="271" spans="1:13" s="12" customFormat="1" ht="34.5" customHeight="1" thickBot="1" thickTop="1">
      <c r="A271" s="210"/>
      <c r="B271" s="210" t="s">
        <v>154</v>
      </c>
      <c r="C271" s="154" t="s">
        <v>165</v>
      </c>
      <c r="D271" s="196"/>
      <c r="E271" s="196">
        <v>1589199.11</v>
      </c>
      <c r="F271" s="212">
        <v>79911.45</v>
      </c>
      <c r="G271" s="212"/>
      <c r="H271" s="146"/>
      <c r="I271" s="146">
        <v>1346605.05</v>
      </c>
      <c r="J271" s="202">
        <v>84711.73</v>
      </c>
      <c r="K271" s="202"/>
      <c r="M271" s="76"/>
    </row>
    <row r="272" spans="1:13" s="12" customFormat="1" ht="31.5" customHeight="1" thickBot="1" thickTop="1">
      <c r="A272" s="210"/>
      <c r="B272" s="210"/>
      <c r="C272" s="156" t="s">
        <v>143</v>
      </c>
      <c r="D272" s="196">
        <v>3000</v>
      </c>
      <c r="E272" s="196">
        <v>11030</v>
      </c>
      <c r="F272" s="213"/>
      <c r="G272" s="213"/>
      <c r="H272" s="146">
        <v>3000</v>
      </c>
      <c r="I272" s="146">
        <v>11030</v>
      </c>
      <c r="J272" s="203"/>
      <c r="K272" s="203"/>
      <c r="M272" s="76"/>
    </row>
    <row r="273" spans="1:13" s="12" customFormat="1" ht="31.5" customHeight="1" thickBot="1" thickTop="1">
      <c r="A273" s="210"/>
      <c r="B273" s="210"/>
      <c r="C273" s="156" t="s">
        <v>164</v>
      </c>
      <c r="D273" s="196"/>
      <c r="E273" s="196">
        <v>30121.25</v>
      </c>
      <c r="F273" s="214"/>
      <c r="G273" s="214"/>
      <c r="H273" s="146"/>
      <c r="I273" s="146">
        <v>30121.25</v>
      </c>
      <c r="J273" s="204"/>
      <c r="K273" s="204"/>
      <c r="M273" s="76"/>
    </row>
    <row r="274" spans="1:13" s="12" customFormat="1" ht="31.5" customHeight="1" thickBot="1" thickTop="1">
      <c r="A274" s="210" t="s">
        <v>104</v>
      </c>
      <c r="B274" s="210" t="s">
        <v>48</v>
      </c>
      <c r="C274" s="173" t="s">
        <v>144</v>
      </c>
      <c r="D274" s="147"/>
      <c r="E274" s="147">
        <f>E275+E276+E277</f>
        <v>0</v>
      </c>
      <c r="F274" s="211">
        <v>287423.58</v>
      </c>
      <c r="G274" s="212"/>
      <c r="H274" s="148"/>
      <c r="I274" s="148">
        <f>I275+I276+I277</f>
        <v>0</v>
      </c>
      <c r="J274" s="198">
        <v>302304.11</v>
      </c>
      <c r="K274" s="202"/>
      <c r="M274" s="76"/>
    </row>
    <row r="275" spans="1:13" s="12" customFormat="1" ht="31.5" customHeight="1" thickBot="1" thickTop="1">
      <c r="A275" s="210"/>
      <c r="B275" s="210"/>
      <c r="C275" s="155" t="s">
        <v>145</v>
      </c>
      <c r="D275" s="196"/>
      <c r="E275" s="196"/>
      <c r="F275" s="211"/>
      <c r="G275" s="213"/>
      <c r="H275" s="146"/>
      <c r="I275" s="146"/>
      <c r="J275" s="198"/>
      <c r="K275" s="203"/>
      <c r="M275" s="76"/>
    </row>
    <row r="276" spans="1:13" s="12" customFormat="1" ht="31.5" customHeight="1" thickBot="1" thickTop="1">
      <c r="A276" s="210"/>
      <c r="B276" s="210"/>
      <c r="C276" s="155" t="s">
        <v>146</v>
      </c>
      <c r="D276" s="196"/>
      <c r="E276" s="196"/>
      <c r="F276" s="211"/>
      <c r="G276" s="213"/>
      <c r="H276" s="146"/>
      <c r="I276" s="146"/>
      <c r="J276" s="198"/>
      <c r="K276" s="203"/>
      <c r="M276" s="76"/>
    </row>
    <row r="277" spans="1:13" s="12" customFormat="1" ht="31.5" customHeight="1" thickBot="1" thickTop="1">
      <c r="A277" s="210"/>
      <c r="B277" s="210"/>
      <c r="C277" s="156" t="s">
        <v>143</v>
      </c>
      <c r="D277" s="196"/>
      <c r="E277" s="196"/>
      <c r="F277" s="211"/>
      <c r="G277" s="213"/>
      <c r="H277" s="146"/>
      <c r="I277" s="146"/>
      <c r="J277" s="198"/>
      <c r="K277" s="203"/>
      <c r="M277" s="76"/>
    </row>
    <row r="278" spans="1:13" s="12" customFormat="1" ht="31.5" customHeight="1" thickBot="1" thickTop="1">
      <c r="A278" s="210"/>
      <c r="B278" s="210"/>
      <c r="C278" s="158" t="s">
        <v>147</v>
      </c>
      <c r="D278" s="147"/>
      <c r="E278" s="147">
        <f>E279+E280+E281</f>
        <v>6104455.07</v>
      </c>
      <c r="F278" s="211"/>
      <c r="G278" s="213"/>
      <c r="H278" s="148"/>
      <c r="I278" s="148">
        <f>I279+I280+I281</f>
        <v>6104568.26</v>
      </c>
      <c r="J278" s="198"/>
      <c r="K278" s="203"/>
      <c r="M278" s="76"/>
    </row>
    <row r="279" spans="1:13" s="12" customFormat="1" ht="31.5" customHeight="1" thickBot="1" thickTop="1">
      <c r="A279" s="210"/>
      <c r="B279" s="210"/>
      <c r="C279" s="155" t="s">
        <v>148</v>
      </c>
      <c r="D279" s="196"/>
      <c r="E279" s="196">
        <v>1148400</v>
      </c>
      <c r="F279" s="211"/>
      <c r="G279" s="213"/>
      <c r="H279" s="146"/>
      <c r="I279" s="146">
        <v>1148400</v>
      </c>
      <c r="J279" s="198"/>
      <c r="K279" s="203"/>
      <c r="M279" s="76"/>
    </row>
    <row r="280" spans="1:13" s="12" customFormat="1" ht="31.5" customHeight="1" thickBot="1" thickTop="1">
      <c r="A280" s="210"/>
      <c r="B280" s="210"/>
      <c r="C280" s="155" t="s">
        <v>149</v>
      </c>
      <c r="D280" s="196"/>
      <c r="E280" s="196">
        <v>4867800</v>
      </c>
      <c r="F280" s="211"/>
      <c r="G280" s="213"/>
      <c r="H280" s="146"/>
      <c r="I280" s="146">
        <v>4867800</v>
      </c>
      <c r="J280" s="198"/>
      <c r="K280" s="203"/>
      <c r="M280" s="76"/>
    </row>
    <row r="281" spans="1:13" s="12" customFormat="1" ht="31.5" customHeight="1" thickBot="1" thickTop="1">
      <c r="A281" s="210"/>
      <c r="B281" s="210"/>
      <c r="C281" s="156" t="s">
        <v>143</v>
      </c>
      <c r="D281" s="196"/>
      <c r="E281" s="196">
        <v>88255.07</v>
      </c>
      <c r="F281" s="211"/>
      <c r="G281" s="214"/>
      <c r="H281" s="146"/>
      <c r="I281" s="146">
        <v>88368.26</v>
      </c>
      <c r="J281" s="198"/>
      <c r="K281" s="204"/>
      <c r="M281" s="76"/>
    </row>
    <row r="282" spans="1:13" s="12" customFormat="1" ht="37.5" customHeight="1" thickBot="1" thickTop="1">
      <c r="A282" s="208" t="s">
        <v>43</v>
      </c>
      <c r="B282" s="209"/>
      <c r="C282" s="156" t="s">
        <v>150</v>
      </c>
      <c r="D282" s="196">
        <v>492477.37</v>
      </c>
      <c r="E282" s="196"/>
      <c r="F282" s="196">
        <v>1398619.26</v>
      </c>
      <c r="G282" s="196"/>
      <c r="H282" s="146">
        <v>486766.75</v>
      </c>
      <c r="I282" s="146"/>
      <c r="J282" s="146">
        <v>1453685.22</v>
      </c>
      <c r="K282" s="146"/>
      <c r="M282" s="76"/>
    </row>
    <row r="283" spans="1:13" ht="31.5" customHeight="1" thickBot="1" thickTop="1">
      <c r="A283" s="208"/>
      <c r="B283" s="209"/>
      <c r="C283" s="156" t="s">
        <v>152</v>
      </c>
      <c r="D283" s="196"/>
      <c r="E283" s="196"/>
      <c r="F283" s="193">
        <v>92631.6</v>
      </c>
      <c r="G283" s="196"/>
      <c r="H283" s="194"/>
      <c r="I283" s="194"/>
      <c r="J283" s="146">
        <v>96788.7</v>
      </c>
      <c r="K283" s="146"/>
      <c r="L283" s="12"/>
      <c r="M283" s="76"/>
    </row>
    <row r="284" ht="12.75" customHeight="1" thickTop="1"/>
    <row r="285" spans="1:16" s="77" customFormat="1" ht="14.25" customHeight="1">
      <c r="A285" s="233"/>
      <c r="B285" s="233"/>
      <c r="C285" s="233"/>
      <c r="D285" s="1"/>
      <c r="E285" s="1"/>
      <c r="H285" s="78"/>
      <c r="I285" s="78"/>
      <c r="J285" s="78"/>
      <c r="K285" s="78"/>
      <c r="M285" s="81"/>
      <c r="P285" s="89"/>
    </row>
    <row r="286" spans="2:16" s="77" customFormat="1" ht="45" customHeight="1">
      <c r="B286" s="88"/>
      <c r="C286" s="199"/>
      <c r="D286" s="199"/>
      <c r="E286" s="199"/>
      <c r="F286" s="199"/>
      <c r="G286" s="181"/>
      <c r="H286" s="199"/>
      <c r="I286" s="199"/>
      <c r="J286" s="199"/>
      <c r="K286" s="181"/>
      <c r="L286" s="86"/>
      <c r="M286" s="86"/>
      <c r="N286" s="86"/>
      <c r="O286" s="86"/>
      <c r="P286" s="89"/>
    </row>
    <row r="287" spans="2:16" s="77" customFormat="1" ht="16.5" customHeight="1">
      <c r="B287" s="88"/>
      <c r="C287" s="200"/>
      <c r="D287" s="200"/>
      <c r="E287" s="200"/>
      <c r="F287" s="200"/>
      <c r="G287" s="182"/>
      <c r="H287" s="200"/>
      <c r="I287" s="200"/>
      <c r="J287" s="200"/>
      <c r="K287" s="185"/>
      <c r="L287" s="87"/>
      <c r="M287" s="87"/>
      <c r="N287" s="87"/>
      <c r="O287" s="87"/>
      <c r="P287" s="89"/>
    </row>
    <row r="288" spans="2:16" s="77" customFormat="1" ht="65.25" customHeight="1">
      <c r="B288" s="86"/>
      <c r="C288" s="199"/>
      <c r="D288" s="199"/>
      <c r="E288" s="199"/>
      <c r="F288" s="199"/>
      <c r="G288" s="181"/>
      <c r="H288" s="199"/>
      <c r="I288" s="199"/>
      <c r="J288" s="199"/>
      <c r="K288" s="181"/>
      <c r="L288" s="86"/>
      <c r="M288" s="86"/>
      <c r="N288" s="86"/>
      <c r="P288" s="89"/>
    </row>
    <row r="289" spans="2:16" s="77" customFormat="1" ht="16.5" customHeight="1">
      <c r="B289" s="87"/>
      <c r="C289" s="200"/>
      <c r="D289" s="200"/>
      <c r="E289" s="200"/>
      <c r="F289" s="200"/>
      <c r="G289" s="185"/>
      <c r="H289" s="201"/>
      <c r="I289" s="201"/>
      <c r="J289" s="201"/>
      <c r="K289" s="182"/>
      <c r="L289" s="87"/>
      <c r="M289" s="87"/>
      <c r="N289" s="87"/>
      <c r="P289" s="89"/>
    </row>
    <row r="290" spans="3:16" s="77" customFormat="1" ht="15.75" customHeight="1">
      <c r="C290" s="183"/>
      <c r="D290" s="186"/>
      <c r="E290" s="186"/>
      <c r="F290" s="186"/>
      <c r="G290" s="183"/>
      <c r="H290" s="184"/>
      <c r="I290" s="184"/>
      <c r="J290" s="184"/>
      <c r="K290" s="184"/>
      <c r="P290" s="89"/>
    </row>
    <row r="291" spans="3:16" s="77" customFormat="1" ht="13.5" customHeight="1">
      <c r="C291" s="187"/>
      <c r="D291" s="188"/>
      <c r="E291" s="188"/>
      <c r="F291" s="183"/>
      <c r="G291" s="183"/>
      <c r="H291" s="183"/>
      <c r="I291" s="183"/>
      <c r="J291" s="183"/>
      <c r="K291" s="183"/>
      <c r="P291" s="89"/>
    </row>
    <row r="292" spans="3:16" s="77" customFormat="1" ht="33" customHeight="1">
      <c r="C292" s="224"/>
      <c r="D292" s="224"/>
      <c r="E292" s="224"/>
      <c r="F292" s="224"/>
      <c r="G292" s="224"/>
      <c r="H292" s="224"/>
      <c r="I292" s="224"/>
      <c r="J292" s="224"/>
      <c r="K292" s="224"/>
      <c r="P292" s="89"/>
    </row>
    <row r="293" spans="1:2" s="12" customFormat="1" ht="11.25">
      <c r="A293" s="79"/>
      <c r="B293" s="79"/>
    </row>
    <row r="294" spans="1:2" s="12" customFormat="1" ht="11.25">
      <c r="A294" s="79"/>
      <c r="B294" s="79"/>
    </row>
    <row r="295" spans="1:2" s="12" customFormat="1" ht="11.25">
      <c r="A295" s="79"/>
      <c r="B295" s="79"/>
    </row>
    <row r="296" spans="1:2" s="12" customFormat="1" ht="11.25">
      <c r="A296" s="79"/>
      <c r="B296" s="79"/>
    </row>
    <row r="297" spans="1:2" s="12" customFormat="1" ht="11.25">
      <c r="A297" s="79"/>
      <c r="B297" s="79"/>
    </row>
    <row r="298" spans="1:2" s="12" customFormat="1" ht="11.25">
      <c r="A298" s="79"/>
      <c r="B298" s="79"/>
    </row>
    <row r="299" spans="1:2" s="12" customFormat="1" ht="11.25">
      <c r="A299" s="79"/>
      <c r="B299" s="79"/>
    </row>
    <row r="300" spans="1:2" s="12" customFormat="1" ht="15.75" customHeight="1">
      <c r="A300" s="79"/>
      <c r="B300" s="79"/>
    </row>
    <row r="301" spans="1:2" s="12" customFormat="1" ht="11.25">
      <c r="A301" s="79"/>
      <c r="B301" s="79"/>
    </row>
    <row r="302" spans="1:2" s="12" customFormat="1" ht="11.25">
      <c r="A302" s="79"/>
      <c r="B302" s="79"/>
    </row>
    <row r="303" spans="1:2" s="12" customFormat="1" ht="11.25">
      <c r="A303" s="79"/>
      <c r="B303" s="79"/>
    </row>
    <row r="304" spans="1:2" s="12" customFormat="1" ht="11.25">
      <c r="A304" s="79"/>
      <c r="B304" s="79"/>
    </row>
    <row r="305" spans="1:2" s="12" customFormat="1" ht="11.25">
      <c r="A305" s="79"/>
      <c r="B305" s="79"/>
    </row>
    <row r="306" spans="1:2" s="12" customFormat="1" ht="11.25">
      <c r="A306" s="79"/>
      <c r="B306" s="79"/>
    </row>
    <row r="307" spans="1:2" s="12" customFormat="1" ht="11.25">
      <c r="A307" s="79"/>
      <c r="B307" s="79"/>
    </row>
    <row r="308" spans="1:2" s="12" customFormat="1" ht="11.25">
      <c r="A308" s="79"/>
      <c r="B308" s="79"/>
    </row>
    <row r="309" spans="1:2" s="12" customFormat="1" ht="11.25">
      <c r="A309" s="79"/>
      <c r="B309" s="79"/>
    </row>
    <row r="310" spans="1:2" s="12" customFormat="1" ht="11.25">
      <c r="A310" s="79"/>
      <c r="B310" s="79"/>
    </row>
    <row r="311" spans="1:2" s="12" customFormat="1" ht="11.25">
      <c r="A311" s="79"/>
      <c r="B311" s="79"/>
    </row>
    <row r="312" spans="1:2" s="12" customFormat="1" ht="11.25">
      <c r="A312" s="79"/>
      <c r="B312" s="79"/>
    </row>
    <row r="313" spans="1:2" s="12" customFormat="1" ht="11.25">
      <c r="A313" s="79"/>
      <c r="B313" s="79"/>
    </row>
    <row r="314" spans="1:2" s="12" customFormat="1" ht="11.25">
      <c r="A314" s="79"/>
      <c r="B314" s="79"/>
    </row>
    <row r="315" spans="1:2" s="12" customFormat="1" ht="11.25">
      <c r="A315" s="79"/>
      <c r="B315" s="79"/>
    </row>
    <row r="316" spans="1:2" s="12" customFormat="1" ht="11.25">
      <c r="A316" s="79"/>
      <c r="B316" s="79"/>
    </row>
    <row r="317" spans="1:2" s="12" customFormat="1" ht="11.25">
      <c r="A317" s="79"/>
      <c r="B317" s="79"/>
    </row>
    <row r="318" spans="1:2" s="12" customFormat="1" ht="11.25">
      <c r="A318" s="79"/>
      <c r="B318" s="79"/>
    </row>
    <row r="319" spans="1:2" s="12" customFormat="1" ht="11.25">
      <c r="A319" s="79"/>
      <c r="B319" s="79"/>
    </row>
    <row r="320" spans="1:2" s="12" customFormat="1" ht="11.25">
      <c r="A320" s="79"/>
      <c r="B320" s="79"/>
    </row>
    <row r="321" spans="1:2" s="12" customFormat="1" ht="11.25">
      <c r="A321" s="79"/>
      <c r="B321" s="79"/>
    </row>
    <row r="322" spans="1:2" s="12" customFormat="1" ht="11.25">
      <c r="A322" s="79"/>
      <c r="B322" s="79"/>
    </row>
    <row r="323" spans="1:2" s="12" customFormat="1" ht="11.25">
      <c r="A323" s="79"/>
      <c r="B323" s="79"/>
    </row>
    <row r="324" spans="1:2" s="12" customFormat="1" ht="11.25">
      <c r="A324" s="79"/>
      <c r="B324" s="79"/>
    </row>
    <row r="325" spans="1:2" s="12" customFormat="1" ht="11.25">
      <c r="A325" s="79"/>
      <c r="B325" s="79"/>
    </row>
    <row r="326" spans="1:2" s="12" customFormat="1" ht="11.25">
      <c r="A326" s="79"/>
      <c r="B326" s="79"/>
    </row>
    <row r="327" spans="1:2" s="12" customFormat="1" ht="11.25">
      <c r="A327" s="79"/>
      <c r="B327" s="79"/>
    </row>
    <row r="328" spans="1:2" s="12" customFormat="1" ht="11.25">
      <c r="A328" s="79"/>
      <c r="B328" s="79"/>
    </row>
    <row r="329" spans="1:2" s="12" customFormat="1" ht="11.25">
      <c r="A329" s="79"/>
      <c r="B329" s="79"/>
    </row>
    <row r="330" spans="1:2" s="12" customFormat="1" ht="11.25">
      <c r="A330" s="79"/>
      <c r="B330" s="79"/>
    </row>
    <row r="331" spans="1:2" s="12" customFormat="1" ht="11.25">
      <c r="A331" s="79"/>
      <c r="B331" s="79"/>
    </row>
    <row r="332" spans="1:2" s="12" customFormat="1" ht="11.25">
      <c r="A332" s="79"/>
      <c r="B332" s="79"/>
    </row>
    <row r="333" spans="1:2" s="12" customFormat="1" ht="11.25">
      <c r="A333" s="79"/>
      <c r="B333" s="79"/>
    </row>
    <row r="334" spans="1:2" s="12" customFormat="1" ht="11.25">
      <c r="A334" s="79"/>
      <c r="B334" s="79"/>
    </row>
    <row r="335" spans="1:2" s="12" customFormat="1" ht="11.25">
      <c r="A335" s="79"/>
      <c r="B335" s="79"/>
    </row>
    <row r="336" spans="1:2" s="12" customFormat="1" ht="11.25">
      <c r="A336" s="79"/>
      <c r="B336" s="79"/>
    </row>
    <row r="337" spans="1:2" s="12" customFormat="1" ht="11.25">
      <c r="A337" s="79"/>
      <c r="B337" s="79"/>
    </row>
    <row r="338" spans="1:2" s="12" customFormat="1" ht="11.25">
      <c r="A338" s="79"/>
      <c r="B338" s="79"/>
    </row>
    <row r="339" spans="1:2" s="12" customFormat="1" ht="11.25">
      <c r="A339" s="79"/>
      <c r="B339" s="79"/>
    </row>
    <row r="340" spans="1:2" s="12" customFormat="1" ht="11.25">
      <c r="A340" s="79"/>
      <c r="B340" s="79"/>
    </row>
    <row r="341" spans="1:2" s="12" customFormat="1" ht="11.25">
      <c r="A341" s="79"/>
      <c r="B341" s="79"/>
    </row>
    <row r="342" spans="1:2" s="12" customFormat="1" ht="11.25">
      <c r="A342" s="79"/>
      <c r="B342" s="79"/>
    </row>
    <row r="343" spans="1:2" s="12" customFormat="1" ht="11.25">
      <c r="A343" s="79"/>
      <c r="B343" s="79"/>
    </row>
    <row r="344" spans="1:2" s="12" customFormat="1" ht="11.25">
      <c r="A344" s="79"/>
      <c r="B344" s="79"/>
    </row>
    <row r="345" spans="1:2" s="12" customFormat="1" ht="11.25">
      <c r="A345" s="79"/>
      <c r="B345" s="79"/>
    </row>
    <row r="346" spans="1:2" s="12" customFormat="1" ht="11.25">
      <c r="A346" s="79"/>
      <c r="B346" s="79"/>
    </row>
    <row r="347" spans="1:2" s="12" customFormat="1" ht="11.25">
      <c r="A347" s="79"/>
      <c r="B347" s="79"/>
    </row>
    <row r="348" spans="1:2" s="12" customFormat="1" ht="11.25">
      <c r="A348" s="79"/>
      <c r="B348" s="79"/>
    </row>
    <row r="349" spans="1:2" s="12" customFormat="1" ht="11.25">
      <c r="A349" s="79"/>
      <c r="B349" s="79"/>
    </row>
    <row r="350" spans="1:2" s="12" customFormat="1" ht="11.25">
      <c r="A350" s="79"/>
      <c r="B350" s="79"/>
    </row>
    <row r="351" spans="1:2" s="12" customFormat="1" ht="11.25">
      <c r="A351" s="79"/>
      <c r="B351" s="79"/>
    </row>
    <row r="352" spans="1:2" s="12" customFormat="1" ht="11.25">
      <c r="A352" s="79"/>
      <c r="B352" s="79"/>
    </row>
    <row r="353" spans="1:2" s="12" customFormat="1" ht="11.25">
      <c r="A353" s="79"/>
      <c r="B353" s="79"/>
    </row>
    <row r="354" spans="1:2" s="12" customFormat="1" ht="11.25">
      <c r="A354" s="79"/>
      <c r="B354" s="79"/>
    </row>
    <row r="355" spans="1:2" s="12" customFormat="1" ht="11.25">
      <c r="A355" s="79"/>
      <c r="B355" s="79"/>
    </row>
    <row r="356" spans="1:2" s="12" customFormat="1" ht="11.25">
      <c r="A356" s="79"/>
      <c r="B356" s="79"/>
    </row>
    <row r="357" spans="1:2" s="12" customFormat="1" ht="11.25">
      <c r="A357" s="79"/>
      <c r="B357" s="79"/>
    </row>
    <row r="358" spans="1:2" s="12" customFormat="1" ht="11.25">
      <c r="A358" s="79"/>
      <c r="B358" s="79"/>
    </row>
    <row r="359" spans="1:2" s="12" customFormat="1" ht="11.25">
      <c r="A359" s="79"/>
      <c r="B359" s="79"/>
    </row>
    <row r="360" spans="1:2" s="12" customFormat="1" ht="11.25">
      <c r="A360" s="79"/>
      <c r="B360" s="79"/>
    </row>
    <row r="361" spans="1:2" s="12" customFormat="1" ht="11.25">
      <c r="A361" s="79"/>
      <c r="B361" s="79"/>
    </row>
    <row r="362" spans="1:2" s="12" customFormat="1" ht="11.25">
      <c r="A362" s="79"/>
      <c r="B362" s="79"/>
    </row>
    <row r="363" spans="1:2" s="12" customFormat="1" ht="11.25">
      <c r="A363" s="79"/>
      <c r="B363" s="79"/>
    </row>
    <row r="364" spans="1:2" s="12" customFormat="1" ht="11.25">
      <c r="A364" s="79"/>
      <c r="B364" s="79"/>
    </row>
    <row r="365" spans="1:2" s="12" customFormat="1" ht="11.25">
      <c r="A365" s="79"/>
      <c r="B365" s="79"/>
    </row>
    <row r="366" spans="1:2" s="12" customFormat="1" ht="11.25">
      <c r="A366" s="79"/>
      <c r="B366" s="79"/>
    </row>
    <row r="367" spans="1:2" s="12" customFormat="1" ht="11.25">
      <c r="A367" s="79"/>
      <c r="B367" s="79"/>
    </row>
    <row r="368" spans="1:2" s="12" customFormat="1" ht="11.25">
      <c r="A368" s="79"/>
      <c r="B368" s="79"/>
    </row>
    <row r="369" spans="1:2" s="12" customFormat="1" ht="11.25">
      <c r="A369" s="79"/>
      <c r="B369" s="79"/>
    </row>
    <row r="370" spans="1:2" s="12" customFormat="1" ht="11.25">
      <c r="A370" s="79"/>
      <c r="B370" s="79"/>
    </row>
    <row r="371" spans="1:2" s="12" customFormat="1" ht="11.25">
      <c r="A371" s="79"/>
      <c r="B371" s="79"/>
    </row>
    <row r="372" spans="1:2" s="12" customFormat="1" ht="11.25">
      <c r="A372" s="79"/>
      <c r="B372" s="79"/>
    </row>
    <row r="373" spans="1:2" s="12" customFormat="1" ht="11.25">
      <c r="A373" s="79"/>
      <c r="B373" s="79"/>
    </row>
    <row r="374" spans="1:2" s="12" customFormat="1" ht="11.25">
      <c r="A374" s="79"/>
      <c r="B374" s="79"/>
    </row>
    <row r="375" spans="1:2" s="12" customFormat="1" ht="11.25">
      <c r="A375" s="79"/>
      <c r="B375" s="79"/>
    </row>
    <row r="376" spans="1:2" s="12" customFormat="1" ht="11.25">
      <c r="A376" s="79"/>
      <c r="B376" s="79"/>
    </row>
    <row r="377" spans="1:2" s="12" customFormat="1" ht="11.25">
      <c r="A377" s="79"/>
      <c r="B377" s="79"/>
    </row>
    <row r="378" spans="1:2" s="12" customFormat="1" ht="11.25">
      <c r="A378" s="79"/>
      <c r="B378" s="79"/>
    </row>
    <row r="379" spans="1:2" s="12" customFormat="1" ht="11.25">
      <c r="A379" s="79"/>
      <c r="B379" s="79"/>
    </row>
    <row r="380" spans="1:2" s="12" customFormat="1" ht="11.25">
      <c r="A380" s="79"/>
      <c r="B380" s="79"/>
    </row>
    <row r="381" spans="1:2" s="12" customFormat="1" ht="11.25">
      <c r="A381" s="79"/>
      <c r="B381" s="79"/>
    </row>
    <row r="382" spans="1:2" s="12" customFormat="1" ht="11.25">
      <c r="A382" s="79"/>
      <c r="B382" s="79"/>
    </row>
    <row r="383" spans="1:2" s="12" customFormat="1" ht="11.25">
      <c r="A383" s="79"/>
      <c r="B383" s="79"/>
    </row>
  </sheetData>
  <sheetProtection/>
  <mergeCells count="471">
    <mergeCell ref="A148:A155"/>
    <mergeCell ref="B148:B151"/>
    <mergeCell ref="D159:G159"/>
    <mergeCell ref="H159:K159"/>
    <mergeCell ref="K83:K85"/>
    <mergeCell ref="K130:K132"/>
    <mergeCell ref="G133:G140"/>
    <mergeCell ref="K133:K140"/>
    <mergeCell ref="K180:K187"/>
    <mergeCell ref="G180:G187"/>
    <mergeCell ref="H174:K174"/>
    <mergeCell ref="A18:C20"/>
    <mergeCell ref="D18:K18"/>
    <mergeCell ref="D19:G19"/>
    <mergeCell ref="H19:K19"/>
    <mergeCell ref="A64:C66"/>
    <mergeCell ref="D64:K64"/>
    <mergeCell ref="D65:G65"/>
    <mergeCell ref="G37:G39"/>
    <mergeCell ref="K37:K39"/>
    <mergeCell ref="G40:G47"/>
    <mergeCell ref="K40:K47"/>
    <mergeCell ref="G130:G132"/>
    <mergeCell ref="H65:K65"/>
    <mergeCell ref="H58:H59"/>
    <mergeCell ref="K77:K78"/>
    <mergeCell ref="G75:G76"/>
    <mergeCell ref="H75:H76"/>
    <mergeCell ref="A285:C285"/>
    <mergeCell ref="C286:F286"/>
    <mergeCell ref="C287:F287"/>
    <mergeCell ref="C288:F288"/>
    <mergeCell ref="G152:G153"/>
    <mergeCell ref="A173:C175"/>
    <mergeCell ref="A165:A172"/>
    <mergeCell ref="D174:G174"/>
    <mergeCell ref="A158:C160"/>
    <mergeCell ref="D158:K158"/>
    <mergeCell ref="C289:F289"/>
    <mergeCell ref="A21:A24"/>
    <mergeCell ref="B21:B24"/>
    <mergeCell ref="A161:A164"/>
    <mergeCell ref="B161:B164"/>
    <mergeCell ref="B114:B117"/>
    <mergeCell ref="D50:K50"/>
    <mergeCell ref="F31:F32"/>
    <mergeCell ref="J67:J73"/>
    <mergeCell ref="J77:J78"/>
    <mergeCell ref="H34:K34"/>
    <mergeCell ref="J180:J187"/>
    <mergeCell ref="H171:H172"/>
    <mergeCell ref="J171:J172"/>
    <mergeCell ref="K75:K76"/>
    <mergeCell ref="K54:K57"/>
    <mergeCell ref="K148:K151"/>
    <mergeCell ref="K101:K104"/>
    <mergeCell ref="J75:J76"/>
    <mergeCell ref="D173:K173"/>
    <mergeCell ref="K171:K172"/>
    <mergeCell ref="J161:J167"/>
    <mergeCell ref="D169:D170"/>
    <mergeCell ref="K169:K170"/>
    <mergeCell ref="A176:A179"/>
    <mergeCell ref="B177:B179"/>
    <mergeCell ref="G169:G170"/>
    <mergeCell ref="G161:G167"/>
    <mergeCell ref="G171:G172"/>
    <mergeCell ref="K161:K167"/>
    <mergeCell ref="A180:A187"/>
    <mergeCell ref="B180:B187"/>
    <mergeCell ref="F180:F187"/>
    <mergeCell ref="D161:D167"/>
    <mergeCell ref="B171:B172"/>
    <mergeCell ref="B165:B167"/>
    <mergeCell ref="E161:E167"/>
    <mergeCell ref="B169:B170"/>
    <mergeCell ref="D171:D172"/>
    <mergeCell ref="F161:F167"/>
    <mergeCell ref="A156:A157"/>
    <mergeCell ref="J152:J153"/>
    <mergeCell ref="K152:K153"/>
    <mergeCell ref="D148:D151"/>
    <mergeCell ref="J148:J151"/>
    <mergeCell ref="D152:D153"/>
    <mergeCell ref="F152:F153"/>
    <mergeCell ref="H148:H151"/>
    <mergeCell ref="H152:H153"/>
    <mergeCell ref="E152:E153"/>
    <mergeCell ref="A129:A132"/>
    <mergeCell ref="B130:B132"/>
    <mergeCell ref="A133:A140"/>
    <mergeCell ref="B133:B140"/>
    <mergeCell ref="F133:F140"/>
    <mergeCell ref="B122:B123"/>
    <mergeCell ref="A126:C128"/>
    <mergeCell ref="D126:K126"/>
    <mergeCell ref="D127:G127"/>
    <mergeCell ref="H127:K127"/>
    <mergeCell ref="D122:D123"/>
    <mergeCell ref="F101:F104"/>
    <mergeCell ref="D124:D125"/>
    <mergeCell ref="A109:A110"/>
    <mergeCell ref="F124:F125"/>
    <mergeCell ref="A118:A125"/>
    <mergeCell ref="B118:B120"/>
    <mergeCell ref="B124:B125"/>
    <mergeCell ref="D114:D120"/>
    <mergeCell ref="A114:A117"/>
    <mergeCell ref="K105:K106"/>
    <mergeCell ref="H105:H106"/>
    <mergeCell ref="D112:G112"/>
    <mergeCell ref="H112:K112"/>
    <mergeCell ref="G101:G104"/>
    <mergeCell ref="B105:B106"/>
    <mergeCell ref="A111:C113"/>
    <mergeCell ref="D111:K111"/>
    <mergeCell ref="J101:J104"/>
    <mergeCell ref="I105:I106"/>
    <mergeCell ref="A101:A108"/>
    <mergeCell ref="G114:G120"/>
    <mergeCell ref="F114:F120"/>
    <mergeCell ref="J114:J120"/>
    <mergeCell ref="D105:D106"/>
    <mergeCell ref="F105:F106"/>
    <mergeCell ref="G105:G106"/>
    <mergeCell ref="B101:B104"/>
    <mergeCell ref="D101:D104"/>
    <mergeCell ref="E101:E104"/>
    <mergeCell ref="E105:E106"/>
    <mergeCell ref="A86:A93"/>
    <mergeCell ref="B86:B93"/>
    <mergeCell ref="F86:F93"/>
    <mergeCell ref="A97:C100"/>
    <mergeCell ref="D97:K97"/>
    <mergeCell ref="D98:G98"/>
    <mergeCell ref="H98:K98"/>
    <mergeCell ref="G86:G93"/>
    <mergeCell ref="K86:K93"/>
    <mergeCell ref="B75:B76"/>
    <mergeCell ref="D77:D78"/>
    <mergeCell ref="F75:F76"/>
    <mergeCell ref="F77:F78"/>
    <mergeCell ref="B83:B85"/>
    <mergeCell ref="G83:G85"/>
    <mergeCell ref="D75:D76"/>
    <mergeCell ref="F40:F47"/>
    <mergeCell ref="G77:G78"/>
    <mergeCell ref="A71:A78"/>
    <mergeCell ref="B71:B73"/>
    <mergeCell ref="B77:B78"/>
    <mergeCell ref="F67:F73"/>
    <mergeCell ref="B67:B70"/>
    <mergeCell ref="A67:A70"/>
    <mergeCell ref="D67:D73"/>
    <mergeCell ref="G67:G73"/>
    <mergeCell ref="J12:J13"/>
    <mergeCell ref="H5:K5"/>
    <mergeCell ref="A62:A63"/>
    <mergeCell ref="D54:D57"/>
    <mergeCell ref="A40:A47"/>
    <mergeCell ref="B40:B47"/>
    <mergeCell ref="B58:B59"/>
    <mergeCell ref="A50:C53"/>
    <mergeCell ref="A54:A61"/>
    <mergeCell ref="B54:B57"/>
    <mergeCell ref="L67:L78"/>
    <mergeCell ref="J40:J47"/>
    <mergeCell ref="D33:K33"/>
    <mergeCell ref="A4:C7"/>
    <mergeCell ref="A8:A15"/>
    <mergeCell ref="B8:B11"/>
    <mergeCell ref="B12:B13"/>
    <mergeCell ref="A16:A17"/>
    <mergeCell ref="D4:K4"/>
    <mergeCell ref="D8:D11"/>
    <mergeCell ref="D5:G5"/>
    <mergeCell ref="H21:H27"/>
    <mergeCell ref="K21:K27"/>
    <mergeCell ref="F12:F13"/>
    <mergeCell ref="G12:G13"/>
    <mergeCell ref="H12:H13"/>
    <mergeCell ref="K12:K13"/>
    <mergeCell ref="D12:D13"/>
    <mergeCell ref="F8:F11"/>
    <mergeCell ref="J8:J11"/>
    <mergeCell ref="H8:H11"/>
    <mergeCell ref="L58:L59"/>
    <mergeCell ref="J21:J27"/>
    <mergeCell ref="J37:J39"/>
    <mergeCell ref="L21:L32"/>
    <mergeCell ref="J54:J57"/>
    <mergeCell ref="J58:J59"/>
    <mergeCell ref="K31:K32"/>
    <mergeCell ref="L12:L13"/>
    <mergeCell ref="K8:K11"/>
    <mergeCell ref="B31:B32"/>
    <mergeCell ref="H54:H57"/>
    <mergeCell ref="A1:K2"/>
    <mergeCell ref="D31:D32"/>
    <mergeCell ref="B29:B30"/>
    <mergeCell ref="A36:A39"/>
    <mergeCell ref="J31:J32"/>
    <mergeCell ref="F21:F27"/>
    <mergeCell ref="D29:D30"/>
    <mergeCell ref="G8:G11"/>
    <mergeCell ref="H31:H32"/>
    <mergeCell ref="B37:B39"/>
    <mergeCell ref="F37:F39"/>
    <mergeCell ref="A25:A32"/>
    <mergeCell ref="B25:B27"/>
    <mergeCell ref="D34:G34"/>
    <mergeCell ref="D21:D27"/>
    <mergeCell ref="G21:G27"/>
    <mergeCell ref="A33:C35"/>
    <mergeCell ref="G31:G32"/>
    <mergeCell ref="K114:K120"/>
    <mergeCell ref="K67:K73"/>
    <mergeCell ref="F58:F59"/>
    <mergeCell ref="F29:F30"/>
    <mergeCell ref="G29:G30"/>
    <mergeCell ref="H29:H30"/>
    <mergeCell ref="J29:J30"/>
    <mergeCell ref="K29:K30"/>
    <mergeCell ref="H51:K51"/>
    <mergeCell ref="D51:G51"/>
    <mergeCell ref="I101:I104"/>
    <mergeCell ref="K58:K59"/>
    <mergeCell ref="H67:H73"/>
    <mergeCell ref="G58:G59"/>
    <mergeCell ref="D58:D59"/>
    <mergeCell ref="F83:F85"/>
    <mergeCell ref="D79:K79"/>
    <mergeCell ref="H80:K80"/>
    <mergeCell ref="D80:G80"/>
    <mergeCell ref="H77:H78"/>
    <mergeCell ref="J133:J140"/>
    <mergeCell ref="H122:H123"/>
    <mergeCell ref="H101:H104"/>
    <mergeCell ref="J83:J85"/>
    <mergeCell ref="K124:K125"/>
    <mergeCell ref="H124:H125"/>
    <mergeCell ref="K122:K123"/>
    <mergeCell ref="J122:J123"/>
    <mergeCell ref="J86:J93"/>
    <mergeCell ref="J105:J106"/>
    <mergeCell ref="I148:I151"/>
    <mergeCell ref="I152:I153"/>
    <mergeCell ref="H161:H167"/>
    <mergeCell ref="G122:G123"/>
    <mergeCell ref="J130:J132"/>
    <mergeCell ref="J124:J125"/>
    <mergeCell ref="D144:K144"/>
    <mergeCell ref="D145:G145"/>
    <mergeCell ref="F148:F151"/>
    <mergeCell ref="E148:E151"/>
    <mergeCell ref="C292:K292"/>
    <mergeCell ref="J177:J179"/>
    <mergeCell ref="F130:F132"/>
    <mergeCell ref="F177:F179"/>
    <mergeCell ref="G177:G179"/>
    <mergeCell ref="A144:C147"/>
    <mergeCell ref="H145:K145"/>
    <mergeCell ref="B152:B153"/>
    <mergeCell ref="G148:G151"/>
    <mergeCell ref="J169:J170"/>
    <mergeCell ref="A188:B188"/>
    <mergeCell ref="A189:B189"/>
    <mergeCell ref="A48:B48"/>
    <mergeCell ref="A49:B49"/>
    <mergeCell ref="A94:B94"/>
    <mergeCell ref="A95:B95"/>
    <mergeCell ref="A141:B141"/>
    <mergeCell ref="A142:B142"/>
    <mergeCell ref="A79:C81"/>
    <mergeCell ref="A82:A85"/>
    <mergeCell ref="A191:C194"/>
    <mergeCell ref="D191:K191"/>
    <mergeCell ref="D192:G192"/>
    <mergeCell ref="H192:K192"/>
    <mergeCell ref="A195:A202"/>
    <mergeCell ref="B195:B198"/>
    <mergeCell ref="D195:D198"/>
    <mergeCell ref="F195:F198"/>
    <mergeCell ref="G195:G198"/>
    <mergeCell ref="H195:H198"/>
    <mergeCell ref="J195:J198"/>
    <mergeCell ref="K195:K198"/>
    <mergeCell ref="B199:B200"/>
    <mergeCell ref="D199:D200"/>
    <mergeCell ref="F199:F200"/>
    <mergeCell ref="G199:G200"/>
    <mergeCell ref="H199:H200"/>
    <mergeCell ref="J199:J200"/>
    <mergeCell ref="K199:K200"/>
    <mergeCell ref="E199:E200"/>
    <mergeCell ref="A203:A204"/>
    <mergeCell ref="A205:C207"/>
    <mergeCell ref="D205:K205"/>
    <mergeCell ref="D206:G206"/>
    <mergeCell ref="H206:K206"/>
    <mergeCell ref="A208:A211"/>
    <mergeCell ref="B208:B211"/>
    <mergeCell ref="D208:D214"/>
    <mergeCell ref="F208:F214"/>
    <mergeCell ref="G208:G214"/>
    <mergeCell ref="H208:H214"/>
    <mergeCell ref="J208:J214"/>
    <mergeCell ref="K208:K214"/>
    <mergeCell ref="A212:A219"/>
    <mergeCell ref="B212:B214"/>
    <mergeCell ref="B216:B217"/>
    <mergeCell ref="D216:D217"/>
    <mergeCell ref="F216:F217"/>
    <mergeCell ref="G216:G217"/>
    <mergeCell ref="H216:H217"/>
    <mergeCell ref="J216:J217"/>
    <mergeCell ref="K216:K217"/>
    <mergeCell ref="B218:B219"/>
    <mergeCell ref="D218:D219"/>
    <mergeCell ref="F218:F219"/>
    <mergeCell ref="G218:G219"/>
    <mergeCell ref="H218:H219"/>
    <mergeCell ref="J218:J219"/>
    <mergeCell ref="K218:K219"/>
    <mergeCell ref="A220:C222"/>
    <mergeCell ref="D220:K220"/>
    <mergeCell ref="D221:G221"/>
    <mergeCell ref="H221:K221"/>
    <mergeCell ref="A223:A226"/>
    <mergeCell ref="B224:B226"/>
    <mergeCell ref="F224:F226"/>
    <mergeCell ref="G224:G226"/>
    <mergeCell ref="J224:J226"/>
    <mergeCell ref="K224:K226"/>
    <mergeCell ref="A227:A234"/>
    <mergeCell ref="B227:B234"/>
    <mergeCell ref="F227:F234"/>
    <mergeCell ref="G227:G234"/>
    <mergeCell ref="J227:J234"/>
    <mergeCell ref="K227:K234"/>
    <mergeCell ref="A235:B235"/>
    <mergeCell ref="A236:B236"/>
    <mergeCell ref="E8:E11"/>
    <mergeCell ref="E12:E13"/>
    <mergeCell ref="A238:C241"/>
    <mergeCell ref="D238:K238"/>
    <mergeCell ref="D239:G239"/>
    <mergeCell ref="H239:K239"/>
    <mergeCell ref="E54:E57"/>
    <mergeCell ref="E58:E59"/>
    <mergeCell ref="A242:A249"/>
    <mergeCell ref="B242:B245"/>
    <mergeCell ref="D242:D245"/>
    <mergeCell ref="F242:F245"/>
    <mergeCell ref="G242:G245"/>
    <mergeCell ref="H242:H245"/>
    <mergeCell ref="E246:E247"/>
    <mergeCell ref="J242:J245"/>
    <mergeCell ref="K242:K245"/>
    <mergeCell ref="B246:B247"/>
    <mergeCell ref="D246:D247"/>
    <mergeCell ref="F246:F247"/>
    <mergeCell ref="G246:G247"/>
    <mergeCell ref="H246:H247"/>
    <mergeCell ref="J246:J247"/>
    <mergeCell ref="K246:K247"/>
    <mergeCell ref="E242:E245"/>
    <mergeCell ref="A250:A251"/>
    <mergeCell ref="A252:C254"/>
    <mergeCell ref="D252:K252"/>
    <mergeCell ref="D253:G253"/>
    <mergeCell ref="H253:K253"/>
    <mergeCell ref="A255:A258"/>
    <mergeCell ref="B255:B258"/>
    <mergeCell ref="D255:D261"/>
    <mergeCell ref="F255:F261"/>
    <mergeCell ref="G255:G261"/>
    <mergeCell ref="H255:H261"/>
    <mergeCell ref="J255:J261"/>
    <mergeCell ref="K255:K261"/>
    <mergeCell ref="A259:A266"/>
    <mergeCell ref="B259:B261"/>
    <mergeCell ref="B263:B264"/>
    <mergeCell ref="D263:D264"/>
    <mergeCell ref="F263:F264"/>
    <mergeCell ref="G263:G264"/>
    <mergeCell ref="H263:H264"/>
    <mergeCell ref="J263:J264"/>
    <mergeCell ref="K263:K264"/>
    <mergeCell ref="B265:B266"/>
    <mergeCell ref="D265:D266"/>
    <mergeCell ref="F265:F266"/>
    <mergeCell ref="G265:G266"/>
    <mergeCell ref="H265:H266"/>
    <mergeCell ref="J265:J266"/>
    <mergeCell ref="K265:K266"/>
    <mergeCell ref="E265:E266"/>
    <mergeCell ref="A267:C269"/>
    <mergeCell ref="D267:K267"/>
    <mergeCell ref="D268:G268"/>
    <mergeCell ref="H268:K268"/>
    <mergeCell ref="A270:A273"/>
    <mergeCell ref="B271:B273"/>
    <mergeCell ref="F271:F273"/>
    <mergeCell ref="G271:G273"/>
    <mergeCell ref="J271:J273"/>
    <mergeCell ref="A274:A281"/>
    <mergeCell ref="B274:B281"/>
    <mergeCell ref="F274:F281"/>
    <mergeCell ref="G274:G281"/>
    <mergeCell ref="J274:J281"/>
    <mergeCell ref="K274:K281"/>
    <mergeCell ref="A282:B282"/>
    <mergeCell ref="A283:B283"/>
    <mergeCell ref="I8:I11"/>
    <mergeCell ref="I12:I13"/>
    <mergeCell ref="E21:E27"/>
    <mergeCell ref="E29:E30"/>
    <mergeCell ref="E31:E32"/>
    <mergeCell ref="I21:I27"/>
    <mergeCell ref="I29:I30"/>
    <mergeCell ref="I31:I32"/>
    <mergeCell ref="I54:I57"/>
    <mergeCell ref="I58:I59"/>
    <mergeCell ref="E67:E73"/>
    <mergeCell ref="E75:E76"/>
    <mergeCell ref="E77:E78"/>
    <mergeCell ref="I67:I73"/>
    <mergeCell ref="I75:I76"/>
    <mergeCell ref="I77:I78"/>
    <mergeCell ref="F54:F57"/>
    <mergeCell ref="G54:G57"/>
    <mergeCell ref="E114:E120"/>
    <mergeCell ref="E122:E123"/>
    <mergeCell ref="E124:E125"/>
    <mergeCell ref="I114:I120"/>
    <mergeCell ref="I122:I123"/>
    <mergeCell ref="I124:I125"/>
    <mergeCell ref="G124:G125"/>
    <mergeCell ref="H114:H120"/>
    <mergeCell ref="F122:F123"/>
    <mergeCell ref="E169:E170"/>
    <mergeCell ref="E171:E172"/>
    <mergeCell ref="I161:I167"/>
    <mergeCell ref="I169:I170"/>
    <mergeCell ref="I171:I172"/>
    <mergeCell ref="E195:E198"/>
    <mergeCell ref="I195:I198"/>
    <mergeCell ref="H169:H170"/>
    <mergeCell ref="F171:F172"/>
    <mergeCell ref="F169:F170"/>
    <mergeCell ref="E255:E261"/>
    <mergeCell ref="E263:E264"/>
    <mergeCell ref="I255:I261"/>
    <mergeCell ref="I263:I264"/>
    <mergeCell ref="I199:I200"/>
    <mergeCell ref="E208:E214"/>
    <mergeCell ref="E216:E217"/>
    <mergeCell ref="E218:E219"/>
    <mergeCell ref="I208:I214"/>
    <mergeCell ref="I216:I217"/>
    <mergeCell ref="I265:I266"/>
    <mergeCell ref="H286:J286"/>
    <mergeCell ref="H287:J287"/>
    <mergeCell ref="H288:J288"/>
    <mergeCell ref="H289:J289"/>
    <mergeCell ref="K177:K179"/>
    <mergeCell ref="K271:K273"/>
    <mergeCell ref="I242:I245"/>
    <mergeCell ref="I246:I247"/>
    <mergeCell ref="I218:I219"/>
  </mergeCells>
  <printOptions horizontalCentered="1"/>
  <pageMargins left="0.2362204724409449" right="0.2362204724409449" top="0.6692913385826772" bottom="0.35433070866141736" header="0.31496062992125984" footer="0"/>
  <pageSetup horizontalDpi="600" verticalDpi="600" orientation="landscape" paperSize="9" scale="66" r:id="rId2"/>
  <headerFooter>
    <oddFooter>&amp;C&amp;13&amp;P</oddFooter>
  </headerFooter>
  <rowBreaks count="17" manualBreakCount="17">
    <brk id="17" max="11" man="1"/>
    <brk id="32" max="11" man="1"/>
    <brk id="49" max="11" man="1"/>
    <brk id="63" max="11" man="1"/>
    <brk id="78" max="11" man="1"/>
    <brk id="96" max="11" man="1"/>
    <brk id="110" max="11" man="1"/>
    <brk id="125" max="11" man="1"/>
    <brk id="143" max="11" man="1"/>
    <brk id="157" max="11" man="1"/>
    <brk id="172" max="11" man="1"/>
    <brk id="190" max="10" man="1"/>
    <brk id="204" max="10" man="1"/>
    <brk id="219" max="10" man="1"/>
    <brk id="237" max="10" man="1"/>
    <brk id="251" max="10" man="1"/>
    <brk id="2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" sqref="D3"/>
    </sheetView>
  </sheetViews>
  <sheetFormatPr defaultColWidth="8.8515625" defaultRowHeight="15"/>
  <cols>
    <col min="1" max="1" width="7.421875" style="56" customWidth="1"/>
    <col min="2" max="2" width="5.7109375" style="57" customWidth="1"/>
    <col min="3" max="3" width="29.421875" style="3" customWidth="1"/>
    <col min="4" max="4" width="18.00390625" style="5" bestFit="1" customWidth="1"/>
    <col min="5" max="5" width="15.8515625" style="41" bestFit="1" customWidth="1"/>
    <col min="6" max="6" width="14.28125" style="5" bestFit="1" customWidth="1"/>
    <col min="7" max="7" width="16.8515625" style="5" bestFit="1" customWidth="1"/>
    <col min="8" max="8" width="15.8515625" style="5" bestFit="1" customWidth="1"/>
    <col min="9" max="9" width="14.28125" style="5" bestFit="1" customWidth="1"/>
    <col min="10" max="10" width="16.8515625" style="5" bestFit="1" customWidth="1"/>
    <col min="11" max="11" width="15.8515625" style="5" bestFit="1" customWidth="1"/>
    <col min="12" max="12" width="14.28125" style="5" bestFit="1" customWidth="1"/>
    <col min="13" max="13" width="16.8515625" style="5" bestFit="1" customWidth="1"/>
    <col min="14" max="14" width="15.8515625" style="5" bestFit="1" customWidth="1"/>
    <col min="15" max="15" width="14.28125" style="5" bestFit="1" customWidth="1"/>
    <col min="16" max="16" width="16.8515625" style="5" bestFit="1" customWidth="1"/>
    <col min="17" max="17" width="15.8515625" style="5" bestFit="1" customWidth="1"/>
    <col min="18" max="18" width="14.28125" style="5" bestFit="1" customWidth="1"/>
    <col min="19" max="19" width="16.8515625" style="5" bestFit="1" customWidth="1"/>
    <col min="20" max="20" width="15.8515625" style="5" bestFit="1" customWidth="1"/>
    <col min="21" max="21" width="13.7109375" style="5" customWidth="1"/>
    <col min="22" max="22" width="16.8515625" style="5" bestFit="1" customWidth="1"/>
    <col min="23" max="23" width="15.8515625" style="5" bestFit="1" customWidth="1"/>
    <col min="24" max="24" width="12.7109375" style="5" customWidth="1"/>
    <col min="25" max="25" width="16.8515625" style="5" bestFit="1" customWidth="1"/>
    <col min="26" max="26" width="15.8515625" style="5" bestFit="1" customWidth="1"/>
    <col min="27" max="27" width="13.57421875" style="5" customWidth="1"/>
    <col min="28" max="28" width="16.8515625" style="5" bestFit="1" customWidth="1"/>
    <col min="29" max="29" width="15.8515625" style="5" bestFit="1" customWidth="1"/>
    <col min="30" max="30" width="13.7109375" style="5" customWidth="1"/>
    <col min="31" max="31" width="16.8515625" style="5" bestFit="1" customWidth="1"/>
    <col min="32" max="32" width="15.8515625" style="5" bestFit="1" customWidth="1"/>
    <col min="33" max="33" width="13.421875" style="5" customWidth="1"/>
    <col min="34" max="34" width="16.8515625" style="5" bestFit="1" customWidth="1"/>
    <col min="35" max="35" width="15.8515625" style="5" bestFit="1" customWidth="1"/>
    <col min="36" max="36" width="14.28125" style="5" bestFit="1" customWidth="1"/>
    <col min="37" max="37" width="16.8515625" style="5" bestFit="1" customWidth="1"/>
    <col min="38" max="38" width="15.8515625" style="5" bestFit="1" customWidth="1"/>
    <col min="39" max="39" width="13.8515625" style="5" customWidth="1"/>
    <col min="40" max="40" width="18.00390625" style="5" bestFit="1" customWidth="1"/>
    <col min="41" max="41" width="16.8515625" style="5" bestFit="1" customWidth="1"/>
    <col min="42" max="42" width="16.140625" style="5" customWidth="1"/>
    <col min="43" max="43" width="19.8515625" style="5" customWidth="1"/>
    <col min="44" max="44" width="6.00390625" style="5" customWidth="1"/>
    <col min="45" max="45" width="17.421875" style="5" bestFit="1" customWidth="1"/>
    <col min="46" max="46" width="16.28125" style="5" bestFit="1" customWidth="1"/>
    <col min="47" max="47" width="15.7109375" style="5" customWidth="1"/>
    <col min="48" max="48" width="15.00390625" style="5" bestFit="1" customWidth="1"/>
    <col min="49" max="49" width="17.00390625" style="5" bestFit="1" customWidth="1"/>
    <col min="50" max="51" width="8.8515625" style="5" customWidth="1"/>
    <col min="52" max="52" width="17.00390625" style="5" bestFit="1" customWidth="1"/>
    <col min="53" max="53" width="16.8515625" style="5" bestFit="1" customWidth="1"/>
    <col min="54" max="54" width="16.8515625" style="5" customWidth="1"/>
    <col min="55" max="55" width="11.00390625" style="5" bestFit="1" customWidth="1"/>
    <col min="56" max="16384" width="8.8515625" style="5" customWidth="1"/>
  </cols>
  <sheetData>
    <row r="1" spans="4:34" ht="24.75" customHeight="1">
      <c r="D1" s="5" t="s">
        <v>62</v>
      </c>
      <c r="E1" s="5" t="s">
        <v>63</v>
      </c>
      <c r="F1" s="5" t="s">
        <v>64</v>
      </c>
      <c r="G1" s="5" t="s">
        <v>65</v>
      </c>
      <c r="H1" s="5" t="s">
        <v>66</v>
      </c>
      <c r="I1" s="5" t="s">
        <v>67</v>
      </c>
      <c r="J1" s="5" t="s">
        <v>68</v>
      </c>
      <c r="K1" s="5" t="s">
        <v>69</v>
      </c>
      <c r="L1" s="5" t="s">
        <v>70</v>
      </c>
      <c r="M1" s="5" t="s">
        <v>71</v>
      </c>
      <c r="N1" s="5" t="s">
        <v>72</v>
      </c>
      <c r="O1" s="5" t="s">
        <v>73</v>
      </c>
      <c r="AE1" s="5" t="s">
        <v>70</v>
      </c>
      <c r="AF1" s="5" t="s">
        <v>71</v>
      </c>
      <c r="AG1" s="5" t="s">
        <v>72</v>
      </c>
      <c r="AH1" s="5" t="s">
        <v>73</v>
      </c>
    </row>
    <row r="2" spans="4:39" ht="30.75" customHeight="1">
      <c r="D2" s="80">
        <f>D3-D7</f>
        <v>-295322</v>
      </c>
      <c r="E2" s="80">
        <f aca="true" t="shared" si="0" ref="E2:AM2">E3-E7</f>
        <v>0</v>
      </c>
      <c r="F2" s="80">
        <f t="shared" si="0"/>
        <v>0</v>
      </c>
      <c r="G2" s="80">
        <f t="shared" si="0"/>
        <v>-300322</v>
      </c>
      <c r="H2" s="80">
        <f t="shared" si="0"/>
        <v>0</v>
      </c>
      <c r="I2" s="80">
        <f t="shared" si="0"/>
        <v>0</v>
      </c>
      <c r="J2" s="80">
        <f t="shared" si="0"/>
        <v>-300321.99999999814</v>
      </c>
      <c r="K2" s="80">
        <f t="shared" si="0"/>
        <v>0</v>
      </c>
      <c r="L2" s="80">
        <f t="shared" si="0"/>
        <v>0</v>
      </c>
      <c r="M2" s="80">
        <f t="shared" si="0"/>
        <v>-265322</v>
      </c>
      <c r="N2" s="80">
        <f t="shared" si="0"/>
        <v>0</v>
      </c>
      <c r="O2" s="80">
        <f t="shared" si="0"/>
        <v>0</v>
      </c>
      <c r="P2" s="80">
        <f t="shared" si="0"/>
        <v>-265322</v>
      </c>
      <c r="Q2" s="80">
        <f t="shared" si="0"/>
        <v>0</v>
      </c>
      <c r="R2" s="80">
        <f t="shared" si="0"/>
        <v>0</v>
      </c>
      <c r="S2" s="80">
        <f t="shared" si="0"/>
        <v>-265322.00000000186</v>
      </c>
      <c r="T2" s="80">
        <f t="shared" si="0"/>
        <v>0</v>
      </c>
      <c r="U2" s="80">
        <f t="shared" si="0"/>
        <v>0</v>
      </c>
      <c r="V2" s="80">
        <f t="shared" si="0"/>
        <v>-134447.99999999907</v>
      </c>
      <c r="W2" s="80">
        <f t="shared" si="0"/>
        <v>0</v>
      </c>
      <c r="X2" s="80">
        <f t="shared" si="0"/>
        <v>0</v>
      </c>
      <c r="Y2" s="80">
        <f t="shared" si="0"/>
        <v>-134448</v>
      </c>
      <c r="Z2" s="80">
        <f t="shared" si="0"/>
        <v>0</v>
      </c>
      <c r="AA2" s="80">
        <f t="shared" si="0"/>
        <v>0</v>
      </c>
      <c r="AB2" s="80">
        <f t="shared" si="0"/>
        <v>-134448</v>
      </c>
      <c r="AC2" s="80">
        <f t="shared" si="0"/>
        <v>382.12000000011176</v>
      </c>
      <c r="AD2" s="80">
        <f t="shared" si="0"/>
        <v>0</v>
      </c>
      <c r="AE2" s="80">
        <f t="shared" si="0"/>
        <v>-134448</v>
      </c>
      <c r="AF2" s="80">
        <f t="shared" si="0"/>
        <v>0</v>
      </c>
      <c r="AG2" s="80">
        <f t="shared" si="0"/>
        <v>0</v>
      </c>
      <c r="AH2" s="80">
        <f t="shared" si="0"/>
        <v>-134448</v>
      </c>
      <c r="AI2" s="80">
        <f>AI3-AI7</f>
        <v>0</v>
      </c>
      <c r="AJ2" s="80">
        <f t="shared" si="0"/>
        <v>0</v>
      </c>
      <c r="AK2" s="80">
        <f t="shared" si="0"/>
        <v>-134448</v>
      </c>
      <c r="AL2" s="80">
        <f t="shared" si="0"/>
        <v>0</v>
      </c>
      <c r="AM2" s="80">
        <f t="shared" si="0"/>
        <v>0</v>
      </c>
    </row>
    <row r="3" spans="1:45" s="76" customFormat="1" ht="42" customHeight="1" thickBot="1">
      <c r="A3" s="81"/>
      <c r="B3" s="82"/>
      <c r="C3" s="83"/>
      <c r="D3" s="84">
        <v>9704573.816921214</v>
      </c>
      <c r="E3" s="84">
        <v>3459165.7869989704</v>
      </c>
      <c r="F3" s="76">
        <v>607000</v>
      </c>
      <c r="G3" s="76">
        <v>12601530.229633335</v>
      </c>
      <c r="H3" s="76">
        <v>3500753.207298971</v>
      </c>
      <c r="I3" s="76">
        <v>12000</v>
      </c>
      <c r="J3" s="76">
        <v>12073799.799633335</v>
      </c>
      <c r="K3" s="76">
        <v>3460386.2469989704</v>
      </c>
      <c r="L3" s="76">
        <v>60500</v>
      </c>
      <c r="M3" s="85">
        <v>13434027.6163</v>
      </c>
      <c r="N3" s="76">
        <v>3457876.79699897</v>
      </c>
      <c r="O3" s="76">
        <v>0</v>
      </c>
      <c r="P3" s="85">
        <v>9590289.303091668</v>
      </c>
      <c r="Q3" s="76">
        <v>3457876.79699897</v>
      </c>
      <c r="R3" s="76">
        <v>0</v>
      </c>
      <c r="S3" s="85">
        <v>9694401.106591666</v>
      </c>
      <c r="T3" s="76">
        <v>3528534.065258939</v>
      </c>
      <c r="U3" s="76">
        <v>0</v>
      </c>
      <c r="V3" s="85">
        <v>8290946.977425001</v>
      </c>
      <c r="W3" s="76">
        <v>3462348.2145183175</v>
      </c>
      <c r="X3" s="76">
        <v>0</v>
      </c>
      <c r="Y3" s="85">
        <v>7406383.417924999</v>
      </c>
      <c r="Z3" s="76">
        <v>3459490.623458349</v>
      </c>
      <c r="AA3" s="76">
        <v>0</v>
      </c>
      <c r="AB3" s="85">
        <v>8203074.201258333</v>
      </c>
      <c r="AC3" s="76">
        <v>3544389.679018889</v>
      </c>
      <c r="AD3" s="76">
        <v>0</v>
      </c>
      <c r="AE3" s="76">
        <v>7845979.991258333</v>
      </c>
      <c r="AF3" s="76">
        <v>3545731.1052668886</v>
      </c>
      <c r="AG3" s="76">
        <v>150000</v>
      </c>
      <c r="AH3" s="85">
        <v>8076567.811758333</v>
      </c>
      <c r="AI3" s="76">
        <v>3545731.1052668886</v>
      </c>
      <c r="AJ3" s="76">
        <v>150000</v>
      </c>
      <c r="AK3" s="85">
        <v>7572724.578425</v>
      </c>
      <c r="AL3" s="76">
        <v>3645731.1052668886</v>
      </c>
      <c r="AM3" s="76">
        <v>150000</v>
      </c>
      <c r="AQ3" s="76">
        <f>AN27+AN28+AN32+AN33+AN29+AN35</f>
        <v>64501418</v>
      </c>
      <c r="AS3" s="76">
        <v>62102798</v>
      </c>
    </row>
    <row r="4" spans="1:46" ht="23.25" customHeight="1" thickBot="1" thickTop="1">
      <c r="A4" s="236" t="s">
        <v>0</v>
      </c>
      <c r="B4" s="237"/>
      <c r="C4" s="238"/>
      <c r="D4" s="242" t="s">
        <v>23</v>
      </c>
      <c r="E4" s="242"/>
      <c r="F4" s="242"/>
      <c r="G4" s="242"/>
      <c r="H4" s="242"/>
      <c r="I4" s="242"/>
      <c r="J4" s="242"/>
      <c r="K4" s="242"/>
      <c r="L4" s="243"/>
      <c r="M4" s="242" t="s">
        <v>23</v>
      </c>
      <c r="N4" s="242"/>
      <c r="O4" s="242"/>
      <c r="P4" s="242"/>
      <c r="Q4" s="242"/>
      <c r="R4" s="242"/>
      <c r="S4" s="242"/>
      <c r="T4" s="242"/>
      <c r="U4" s="243"/>
      <c r="V4" s="242" t="s">
        <v>23</v>
      </c>
      <c r="W4" s="242"/>
      <c r="X4" s="242"/>
      <c r="Y4" s="242"/>
      <c r="Z4" s="242"/>
      <c r="AA4" s="242"/>
      <c r="AB4" s="242"/>
      <c r="AC4" s="242"/>
      <c r="AD4" s="243"/>
      <c r="AE4" s="242" t="s">
        <v>23</v>
      </c>
      <c r="AF4" s="242"/>
      <c r="AG4" s="242"/>
      <c r="AH4" s="242"/>
      <c r="AI4" s="242"/>
      <c r="AJ4" s="242"/>
      <c r="AK4" s="242"/>
      <c r="AL4" s="242"/>
      <c r="AM4" s="243"/>
      <c r="AN4" s="289"/>
      <c r="AO4" s="290"/>
      <c r="AP4" s="290"/>
      <c r="AQ4" s="291"/>
      <c r="AT4" s="80" t="e">
        <f>#REF!-436864.24</f>
        <v>#REF!</v>
      </c>
    </row>
    <row r="5" spans="1:43" ht="15" customHeight="1" thickBot="1" thickTop="1">
      <c r="A5" s="239"/>
      <c r="B5" s="240"/>
      <c r="C5" s="241"/>
      <c r="D5" s="244" t="s">
        <v>24</v>
      </c>
      <c r="E5" s="242"/>
      <c r="F5" s="243"/>
      <c r="G5" s="244" t="s">
        <v>25</v>
      </c>
      <c r="H5" s="242"/>
      <c r="I5" s="243"/>
      <c r="J5" s="244" t="s">
        <v>26</v>
      </c>
      <c r="K5" s="242"/>
      <c r="L5" s="243"/>
      <c r="M5" s="244" t="s">
        <v>32</v>
      </c>
      <c r="N5" s="242"/>
      <c r="O5" s="243"/>
      <c r="P5" s="244" t="s">
        <v>33</v>
      </c>
      <c r="Q5" s="242"/>
      <c r="R5" s="243"/>
      <c r="S5" s="244" t="s">
        <v>34</v>
      </c>
      <c r="T5" s="242"/>
      <c r="U5" s="243"/>
      <c r="V5" s="244" t="s">
        <v>35</v>
      </c>
      <c r="W5" s="242"/>
      <c r="X5" s="243"/>
      <c r="Y5" s="244" t="s">
        <v>36</v>
      </c>
      <c r="Z5" s="242"/>
      <c r="AA5" s="243"/>
      <c r="AB5" s="244" t="s">
        <v>37</v>
      </c>
      <c r="AC5" s="242"/>
      <c r="AD5" s="243"/>
      <c r="AE5" s="244" t="s">
        <v>38</v>
      </c>
      <c r="AF5" s="242"/>
      <c r="AG5" s="243"/>
      <c r="AH5" s="244" t="s">
        <v>39</v>
      </c>
      <c r="AI5" s="242"/>
      <c r="AJ5" s="243"/>
      <c r="AK5" s="244" t="s">
        <v>40</v>
      </c>
      <c r="AL5" s="242"/>
      <c r="AM5" s="243"/>
      <c r="AN5" s="244" t="s">
        <v>31</v>
      </c>
      <c r="AO5" s="242"/>
      <c r="AP5" s="242"/>
      <c r="AQ5" s="243"/>
    </row>
    <row r="6" spans="1:49" ht="24.75" customHeight="1" thickBot="1" thickTop="1">
      <c r="A6" s="239"/>
      <c r="B6" s="240"/>
      <c r="C6" s="241"/>
      <c r="D6" s="53" t="s">
        <v>28</v>
      </c>
      <c r="E6" s="54" t="s">
        <v>27</v>
      </c>
      <c r="F6" s="55" t="s">
        <v>30</v>
      </c>
      <c r="G6" s="53" t="s">
        <v>28</v>
      </c>
      <c r="H6" s="54" t="s">
        <v>27</v>
      </c>
      <c r="I6" s="55" t="s">
        <v>30</v>
      </c>
      <c r="J6" s="53" t="s">
        <v>28</v>
      </c>
      <c r="K6" s="54" t="s">
        <v>27</v>
      </c>
      <c r="L6" s="55" t="s">
        <v>30</v>
      </c>
      <c r="M6" s="53" t="s">
        <v>28</v>
      </c>
      <c r="N6" s="54" t="s">
        <v>27</v>
      </c>
      <c r="O6" s="55" t="s">
        <v>30</v>
      </c>
      <c r="P6" s="53" t="s">
        <v>28</v>
      </c>
      <c r="Q6" s="54" t="s">
        <v>27</v>
      </c>
      <c r="R6" s="55" t="s">
        <v>30</v>
      </c>
      <c r="S6" s="53" t="s">
        <v>28</v>
      </c>
      <c r="T6" s="54" t="s">
        <v>27</v>
      </c>
      <c r="U6" s="55" t="s">
        <v>30</v>
      </c>
      <c r="V6" s="53" t="s">
        <v>28</v>
      </c>
      <c r="W6" s="54" t="s">
        <v>27</v>
      </c>
      <c r="X6" s="55" t="s">
        <v>30</v>
      </c>
      <c r="Y6" s="53" t="s">
        <v>28</v>
      </c>
      <c r="Z6" s="54" t="s">
        <v>27</v>
      </c>
      <c r="AA6" s="55" t="s">
        <v>30</v>
      </c>
      <c r="AB6" s="53" t="s">
        <v>28</v>
      </c>
      <c r="AC6" s="54" t="s">
        <v>27</v>
      </c>
      <c r="AD6" s="55" t="s">
        <v>30</v>
      </c>
      <c r="AE6" s="53" t="s">
        <v>28</v>
      </c>
      <c r="AF6" s="54" t="s">
        <v>27</v>
      </c>
      <c r="AG6" s="55" t="s">
        <v>30</v>
      </c>
      <c r="AH6" s="53" t="s">
        <v>28</v>
      </c>
      <c r="AI6" s="54" t="s">
        <v>27</v>
      </c>
      <c r="AJ6" s="55" t="s">
        <v>30</v>
      </c>
      <c r="AK6" s="53" t="s">
        <v>28</v>
      </c>
      <c r="AL6" s="54" t="s">
        <v>27</v>
      </c>
      <c r="AM6" s="55" t="s">
        <v>30</v>
      </c>
      <c r="AN6" s="65" t="s">
        <v>28</v>
      </c>
      <c r="AO6" s="66" t="s">
        <v>27</v>
      </c>
      <c r="AP6" s="67" t="s">
        <v>30</v>
      </c>
      <c r="AQ6" s="69" t="s">
        <v>31</v>
      </c>
      <c r="AS6" s="65" t="s">
        <v>28</v>
      </c>
      <c r="AT6" s="66" t="s">
        <v>27</v>
      </c>
      <c r="AU6" s="65" t="s">
        <v>29</v>
      </c>
      <c r="AV6" s="67" t="s">
        <v>30</v>
      </c>
      <c r="AW6" s="69" t="s">
        <v>31</v>
      </c>
    </row>
    <row r="7" spans="1:43" ht="19.5" customHeight="1" thickBot="1" thickTop="1">
      <c r="A7" s="239"/>
      <c r="B7" s="240"/>
      <c r="C7" s="241"/>
      <c r="D7" s="7">
        <f>D8+D9+D10+D11+D12+D13+D14+D19+D15+D17+D20+D26+D31+D36</f>
        <v>9999895.816921214</v>
      </c>
      <c r="E7" s="8">
        <f>E8+E9+E10+E11+E12+E13+E14+E19+E20+E26+E36</f>
        <v>3459165.7869989704</v>
      </c>
      <c r="F7" s="8">
        <f>F8+F9+F10+F11+F12+F13+F14+F19+F20+F26+F36</f>
        <v>607000</v>
      </c>
      <c r="G7" s="7">
        <f>G8+G9+G10+G11+G12+G13+G14+G19+G15+G17+G20+G26+G31+G36</f>
        <v>12901852.229633335</v>
      </c>
      <c r="H7" s="8">
        <f>H8+H9+H10+H11+H12+H13+H14+H19+H20+H26+H36+H15</f>
        <v>3500753.2072989703</v>
      </c>
      <c r="I7" s="8">
        <f>I8+I9+I10+I11+I12+I13+I14+I19+I20+I26+I36</f>
        <v>12000</v>
      </c>
      <c r="J7" s="7">
        <f>J8+J9+J10+J11+J12+J13+J14+J19+J15+J17+J20+J26+J31+J36</f>
        <v>12374121.799633333</v>
      </c>
      <c r="K7" s="8">
        <f>K8+K9+K10+K11+K12+K13+K14+K19+K20+K26+K36</f>
        <v>3460386.2469989704</v>
      </c>
      <c r="L7" s="8">
        <f>L8+L9+L10+L11+L12+L13+L14+L19+L20+L26+L36</f>
        <v>60500</v>
      </c>
      <c r="M7" s="7">
        <f>M8+M9+M10+M11+M12+M13+M14+M19+M15+M17+M20+M26+M31+M36</f>
        <v>13699349.6163</v>
      </c>
      <c r="N7" s="8">
        <f>N8+N9+N10+N11+N12+N13+N14+N19+N20+N26+N36</f>
        <v>3457876.79699897</v>
      </c>
      <c r="O7" s="8">
        <f>O8+O9+O10+O11+O12+O13+O14+O19+O20+O26+O36</f>
        <v>0</v>
      </c>
      <c r="P7" s="7">
        <f>P8+P9+P10+P11+P12+P13+P14+P19+P15+P17+P20+P26+P31+P36</f>
        <v>9855611.303091668</v>
      </c>
      <c r="Q7" s="8">
        <f>Q8+Q9+Q10+Q11+Q12+Q13+Q14+Q19+Q20+Q26+Q36</f>
        <v>3457876.79699897</v>
      </c>
      <c r="R7" s="8">
        <f>R8+R9+R10+R11+R12+R13+R14+R19+R20+R26+R36</f>
        <v>0</v>
      </c>
      <c r="S7" s="7">
        <f>S8+S9+S10+S11+S12+S13+S14+S19+S15+S17+S20+S26+S31+S36</f>
        <v>9959723.106591668</v>
      </c>
      <c r="T7" s="8">
        <f>T8+T9+T10+T11+T12+T13+T14+T19+T20+T26+T36+T17</f>
        <v>3528534.065258939</v>
      </c>
      <c r="U7" s="8">
        <f>U8+U9+U10+U11+U12+U13+U14+U19+U20+U26+U36</f>
        <v>0</v>
      </c>
      <c r="V7" s="7">
        <f>V8+V9+V10+V11+V12+V13+V14+V19+V15+V17+V20+V26+V31+V36</f>
        <v>8425394.977425</v>
      </c>
      <c r="W7" s="8">
        <f>W8+W9+W10+W11+W12+W13+W14+W19+W20+W26+W36</f>
        <v>3462348.214518318</v>
      </c>
      <c r="X7" s="8">
        <f>X8+X9+X10+X11+X12+X13+X14+X19+X20+X26+X36</f>
        <v>0</v>
      </c>
      <c r="Y7" s="7">
        <f>Y8+Y9+Y10+Y11+Y12+Y13+Y14+Y19+Y15+Y17+Y20+Y26+Y31+Y36</f>
        <v>7540831.417924999</v>
      </c>
      <c r="Z7" s="8">
        <f>Z8+Z9+Z10+Z11+Z12+Z13+Z14+Z19+Z20+Z26+Z36</f>
        <v>3459490.623458349</v>
      </c>
      <c r="AA7" s="8">
        <f>AA8+AA9+AA10+AA11+AA12+AA13+AA14+AA19+AA20+AA26+AA36</f>
        <v>0</v>
      </c>
      <c r="AB7" s="7">
        <f>AB8+AB9+AB10+AB11+AB12+AB13+AB14+AB19+AB15+AB17+AB20+AB26+AB31+AB36</f>
        <v>8337522.201258333</v>
      </c>
      <c r="AC7" s="8">
        <f>AC8+AC9+AC10+AC11+AC12+AC13+AC14+AC19+AC20+AC26+AC36</f>
        <v>3544007.559018889</v>
      </c>
      <c r="AD7" s="8">
        <f>AD8+AD9+AD10+AD11+AD12+AD13+AD14+AD19+AD20+AD26+AD36</f>
        <v>0</v>
      </c>
      <c r="AE7" s="7">
        <f>AE8+AE9+AE10+AE11+AE12+AE13+AE14+AE19+AE15+AE17+AE20+AE26+AE31+AE36</f>
        <v>7980427.991258333</v>
      </c>
      <c r="AF7" s="8">
        <f>AF8+AF9+AF10+AF11+AF12+AF13+AF14+AF19+AF20+AF26+AF36</f>
        <v>3545731.1052668886</v>
      </c>
      <c r="AG7" s="8">
        <f>AG8+AG9+AG10+AG11+AG12+AG13+AG14+AG19+AG20+AG26+AG36</f>
        <v>150000</v>
      </c>
      <c r="AH7" s="7">
        <f>AH8+AH9+AH10+AH11+AH12+AH13+AH14+AH19+AH15+AH17+AH20+AH26+AH31+AH36</f>
        <v>8211015.811758333</v>
      </c>
      <c r="AI7" s="8">
        <f>AI8+AI9+AI10+AI11+AI12+AI13+AI14+AI19+AI20+AI26+AI36+AI15</f>
        <v>3545731.1052668886</v>
      </c>
      <c r="AJ7" s="8">
        <f>AJ8+AJ9+AJ10+AJ11+AJ12+AJ13+AJ14+AJ19+AJ20+AJ26+AJ36</f>
        <v>150000</v>
      </c>
      <c r="AK7" s="7">
        <f>AK8+AK9+AK10+AK11+AK12+AK13+AK14+AK19+AK15+AK17+AK20+AK26+AK31+AK36</f>
        <v>7707172.578425</v>
      </c>
      <c r="AL7" s="8">
        <f>AL8+AL9+AL10+AL11+AL12+AL13+AL14+AL19+AL20+AL26+AL36+AL15</f>
        <v>3645731.1052668886</v>
      </c>
      <c r="AM7" s="8">
        <f>AM8+AM9+AM10+AM11+AM12+AM13+AM14+AM19+AM20+AM26+AM36</f>
        <v>150000</v>
      </c>
      <c r="AN7" s="7">
        <f>AN8+AN9+AN10+AN11+AN12+AN13+AN14+AN19+AN15+AN17+AN20+AN26+AN31+AN36</f>
        <v>116992918.8502212</v>
      </c>
      <c r="AO7" s="8">
        <f>AO8+AO9+AO10+AO11+AO12+AO13+AO14+AO19+AO20+AO26+AO36</f>
        <v>41897632.61335001</v>
      </c>
      <c r="AP7" s="8">
        <f>AP8+AP9+AP10+AP11+AP12+AP13+AP14+AP19+AP20+AP26+AP36</f>
        <v>1129500</v>
      </c>
      <c r="AQ7" s="70">
        <f>AQ8+AQ9+AQ10+AQ11+AQ12+AQ13+AQ14+AQ19+AQ20+AQ26+AQ36+AQ15+AQ17+AQ18</f>
        <v>160190051.46357122</v>
      </c>
    </row>
    <row r="8" spans="1:55" ht="35.25" customHeight="1" thickBot="1" thickTop="1">
      <c r="A8" s="245" t="s">
        <v>7</v>
      </c>
      <c r="B8" s="95" t="s">
        <v>1</v>
      </c>
      <c r="C8" s="9"/>
      <c r="D8" s="91">
        <f>Planilha1!F10</f>
        <v>276419.4413333334</v>
      </c>
      <c r="E8" s="90">
        <f>Planilha2!E8</f>
        <v>443520.81776560197</v>
      </c>
      <c r="F8" s="91"/>
      <c r="G8" s="92">
        <f>Planilha1!G10</f>
        <v>270230.9713333333</v>
      </c>
      <c r="H8" s="92">
        <f>Planilha2!F8</f>
        <v>443520.81776560197</v>
      </c>
      <c r="I8" s="92"/>
      <c r="J8" s="90">
        <f>Planilha1!H10</f>
        <v>269030.9713333333</v>
      </c>
      <c r="K8" s="90">
        <f>Planilha2!G8</f>
        <v>443520.81776560197</v>
      </c>
      <c r="L8" s="90"/>
      <c r="M8" s="91">
        <f>Planilha1!I10</f>
        <v>269190.9713333333</v>
      </c>
      <c r="N8" s="90">
        <f>Planilha2!H8</f>
        <v>443520.81776560197</v>
      </c>
      <c r="O8" s="102"/>
      <c r="P8" s="92">
        <f>Planilha1!J10</f>
        <v>268838.5613333333</v>
      </c>
      <c r="Q8" s="92">
        <f>Planilha2!I8</f>
        <v>443520.81776560197</v>
      </c>
      <c r="R8" s="92"/>
      <c r="S8" s="90">
        <f>Planilha1!K10</f>
        <v>268838.5613333333</v>
      </c>
      <c r="T8" s="90">
        <f>Planilha2!J8</f>
        <v>444199.25496560195</v>
      </c>
      <c r="U8" s="90"/>
      <c r="V8" s="91">
        <f>Planilha1!L10</f>
        <v>268998.5613333333</v>
      </c>
      <c r="W8" s="90">
        <f>Planilha2!K8</f>
        <v>444516.18124076445</v>
      </c>
      <c r="X8" s="102"/>
      <c r="Y8" s="100">
        <f>Planilha1!M10</f>
        <v>268838.5613333333</v>
      </c>
      <c r="Z8" s="100">
        <f>Planilha2!L8</f>
        <v>444516.18124076445</v>
      </c>
      <c r="AA8" s="100"/>
      <c r="AB8" s="10">
        <f>Planilha1!N10</f>
        <v>385505.228</v>
      </c>
      <c r="AC8" s="10">
        <f>Planilha2!M8</f>
        <v>457120.81292285863</v>
      </c>
      <c r="AD8" s="10"/>
      <c r="AE8" s="101">
        <f>Planilha1!O10</f>
        <v>387665.228</v>
      </c>
      <c r="AF8" s="10">
        <f>Planilha2!N8</f>
        <v>457419.27600285853</v>
      </c>
      <c r="AG8" s="11"/>
      <c r="AH8" s="100">
        <f>Planilha1!P10</f>
        <v>368768.94800000003</v>
      </c>
      <c r="AI8" s="100">
        <f>Planilha2!O8</f>
        <v>457419.27600285853</v>
      </c>
      <c r="AJ8" s="100"/>
      <c r="AK8" s="10">
        <f>Planilha1!Q10</f>
        <v>240312.78133333335</v>
      </c>
      <c r="AL8" s="10">
        <f>Planilha2!P8</f>
        <v>457419.27600285853</v>
      </c>
      <c r="AM8" s="10"/>
      <c r="AN8" s="10">
        <f>AK8+AH8+AE8+AB8+Y8+V8+S8+P8+M8+J8+G8+D8</f>
        <v>3542638.786</v>
      </c>
      <c r="AO8" s="10">
        <f>AL8+AI8+AF8+AC8+Z8+W8+T8+Q8+N8+K8+H8+E8</f>
        <v>5380214.347206575</v>
      </c>
      <c r="AP8" s="10">
        <f>AM8+AJ8+AG8+AD8+AA8+X8+U8+R8+O8+L8+I8+F8</f>
        <v>0</v>
      </c>
      <c r="AQ8" s="104">
        <f aca="true" t="shared" si="1" ref="AQ8:AQ14">AP8+AO8+AN8</f>
        <v>8922853.133206574</v>
      </c>
      <c r="AS8" s="10">
        <v>3542638.7860000003</v>
      </c>
      <c r="AT8" s="10">
        <v>5380214.347206575</v>
      </c>
      <c r="AU8" s="10"/>
      <c r="AV8" s="10"/>
      <c r="AW8" s="104">
        <f aca="true" t="shared" si="2" ref="AW8:AW14">SUM(AS8:AV8)</f>
        <v>8922853.133206576</v>
      </c>
      <c r="AZ8"/>
      <c r="BA8"/>
      <c r="BB8"/>
      <c r="BC8"/>
    </row>
    <row r="9" spans="1:55" ht="30.75" customHeight="1" thickBot="1" thickTop="1">
      <c r="A9" s="246"/>
      <c r="B9" s="96" t="s">
        <v>2</v>
      </c>
      <c r="C9" s="16"/>
      <c r="D9" s="91">
        <f>Planilha1!F11</f>
        <v>165200.99748333334</v>
      </c>
      <c r="E9" s="90">
        <f>Planilha2!E9</f>
        <v>167839.2032819301</v>
      </c>
      <c r="F9" s="98"/>
      <c r="G9" s="106">
        <f>Planilha1!G11</f>
        <v>158840.99748333334</v>
      </c>
      <c r="H9" s="106">
        <f>Planilha2!F9</f>
        <v>167839.2032819301</v>
      </c>
      <c r="I9" s="94"/>
      <c r="J9" s="90">
        <f>Planilha1!H11</f>
        <v>158200.99748333334</v>
      </c>
      <c r="K9" s="90">
        <f>Planilha2!G9</f>
        <v>167839.2032819301</v>
      </c>
      <c r="L9" s="14"/>
      <c r="M9" s="91">
        <f>Planilha1!I11</f>
        <v>74307.66415</v>
      </c>
      <c r="N9" s="90">
        <f>Planilha2!H9</f>
        <v>167839.2032819301</v>
      </c>
      <c r="O9" s="98"/>
      <c r="P9" s="106">
        <f>Planilha1!J11</f>
        <v>74495.25415</v>
      </c>
      <c r="Q9" s="106">
        <f>Planilha2!I9</f>
        <v>167839.2032819301</v>
      </c>
      <c r="R9" s="94"/>
      <c r="S9" s="90">
        <f>Planilha1!K11</f>
        <v>73935.25415</v>
      </c>
      <c r="T9" s="90">
        <f>Planilha2!J9</f>
        <v>167839.2032819301</v>
      </c>
      <c r="U9" s="14"/>
      <c r="V9" s="91">
        <f>Planilha1!L11</f>
        <v>74495.25415</v>
      </c>
      <c r="W9" s="90">
        <f>Planilha2!K9</f>
        <v>168029.3469897824</v>
      </c>
      <c r="X9" s="98"/>
      <c r="Y9" s="107">
        <f>Planilha1!M11</f>
        <v>75935.25415</v>
      </c>
      <c r="Z9" s="107">
        <f>Planilha2!L9</f>
        <v>168029.3469897824</v>
      </c>
      <c r="AA9" s="94"/>
      <c r="AB9" s="10">
        <f>Planilha1!N11</f>
        <v>74495.25415</v>
      </c>
      <c r="AC9" s="10">
        <f>Planilha2!M9</f>
        <v>172681.43745357776</v>
      </c>
      <c r="AD9" s="14"/>
      <c r="AE9" s="101">
        <f>Planilha1!O11</f>
        <v>75935.25415</v>
      </c>
      <c r="AF9" s="10">
        <f>Planilha2!N9</f>
        <v>172837.3111575778</v>
      </c>
      <c r="AG9" s="98"/>
      <c r="AH9" s="107">
        <f>Planilha1!P11</f>
        <v>74127.91415</v>
      </c>
      <c r="AI9" s="107">
        <f>Planilha2!O9</f>
        <v>172837.3111575778</v>
      </c>
      <c r="AJ9" s="94"/>
      <c r="AK9" s="10">
        <f>Planilha1!Q11</f>
        <v>62828.99415</v>
      </c>
      <c r="AL9" s="10">
        <f>Planilha2!P9</f>
        <v>172837.3111575778</v>
      </c>
      <c r="AM9" s="14"/>
      <c r="AN9" s="10">
        <f aca="true" t="shared" si="3" ref="AN9:AO11">AK9+AH9+AE9+AB9+Y9+V9+S9+P9+M9+J9+G9+D9</f>
        <v>1142799.0898</v>
      </c>
      <c r="AO9" s="10">
        <f t="shared" si="3"/>
        <v>2034287.284597457</v>
      </c>
      <c r="AP9" s="14">
        <f aca="true" t="shared" si="4" ref="AP9:AP18">AM9+AJ9+AG9+AD9+AA9+X9+U9+R9+O9+L9+I9+F9</f>
        <v>0</v>
      </c>
      <c r="AQ9" s="103">
        <f t="shared" si="1"/>
        <v>3177086.3743974566</v>
      </c>
      <c r="AS9" s="14">
        <v>1142799.0897999997</v>
      </c>
      <c r="AT9" s="14">
        <v>2034287.2845974565</v>
      </c>
      <c r="AU9" s="14"/>
      <c r="AV9" s="14"/>
      <c r="AW9" s="103">
        <f t="shared" si="2"/>
        <v>3177086.374397456</v>
      </c>
      <c r="AZ9"/>
      <c r="BA9"/>
      <c r="BB9"/>
      <c r="BC9"/>
    </row>
    <row r="10" spans="1:54" ht="36" customHeight="1" thickBot="1" thickTop="1">
      <c r="A10" s="246"/>
      <c r="B10" s="62" t="s">
        <v>3</v>
      </c>
      <c r="C10" s="15"/>
      <c r="D10" s="91">
        <f>Planilha1!F12</f>
        <v>60297.9168</v>
      </c>
      <c r="E10" s="90">
        <f>Planilha2!E10</f>
        <v>105744.3635796886</v>
      </c>
      <c r="F10" s="17"/>
      <c r="G10" s="106">
        <f>Planilha1!G12</f>
        <v>51926.6768</v>
      </c>
      <c r="H10" s="106">
        <f>Planilha2!F10</f>
        <v>105744.3635796886</v>
      </c>
      <c r="I10" s="46"/>
      <c r="J10" s="90">
        <f>Planilha1!H12</f>
        <v>52776.6768</v>
      </c>
      <c r="K10" s="90">
        <f>Planilha2!G10</f>
        <v>105744.3635796886</v>
      </c>
      <c r="L10" s="14"/>
      <c r="M10" s="91">
        <f>Planilha1!I12</f>
        <v>51626.6768</v>
      </c>
      <c r="N10" s="90">
        <f>Planilha2!H10</f>
        <v>105744.3635796886</v>
      </c>
      <c r="O10" s="17"/>
      <c r="P10" s="106">
        <f>Planilha1!J12</f>
        <v>52699.85346666667</v>
      </c>
      <c r="Q10" s="106">
        <f>Planilha2!I10</f>
        <v>105744.3635796886</v>
      </c>
      <c r="R10" s="46"/>
      <c r="S10" s="90">
        <f>Planilha1!K12</f>
        <v>54533.61096666667</v>
      </c>
      <c r="T10" s="90">
        <f>Planilha2!J10</f>
        <v>105744.3635796886</v>
      </c>
      <c r="U10" s="14"/>
      <c r="V10" s="91">
        <f>Planilha1!L12</f>
        <v>52311.41096666667</v>
      </c>
      <c r="W10" s="90">
        <f>Planilha2!K10</f>
        <v>105744.3635796886</v>
      </c>
      <c r="X10" s="17"/>
      <c r="Y10" s="107">
        <f>Planilha1!M12</f>
        <v>51161.41096666667</v>
      </c>
      <c r="Z10" s="107">
        <f>Planilha2!L10</f>
        <v>105744.3635796886</v>
      </c>
      <c r="AA10" s="46"/>
      <c r="AB10" s="10">
        <f>Planilha1!N12</f>
        <v>227711.41096666665</v>
      </c>
      <c r="AC10" s="10">
        <f>Planilha2!M10</f>
        <v>108925.25950138328</v>
      </c>
      <c r="AD10" s="14"/>
      <c r="AE10" s="101">
        <f>Planilha1!O12-AG10</f>
        <v>76161.41096666665</v>
      </c>
      <c r="AF10" s="10">
        <f>Planilha2!N10</f>
        <v>108972.97270938328</v>
      </c>
      <c r="AG10" s="97">
        <v>150000</v>
      </c>
      <c r="AH10" s="107">
        <f>Planilha1!P12-AJ10</f>
        <v>77311.41096666665</v>
      </c>
      <c r="AI10" s="107">
        <f>Planilha2!O10</f>
        <v>108972.97270938328</v>
      </c>
      <c r="AJ10" s="46">
        <v>150000</v>
      </c>
      <c r="AK10" s="10">
        <f>Planilha1!Q12-AM10</f>
        <v>62541.480966666655</v>
      </c>
      <c r="AL10" s="10">
        <f>Planilha2!P10</f>
        <v>108972.97270938328</v>
      </c>
      <c r="AM10" s="14">
        <v>150000</v>
      </c>
      <c r="AN10" s="10">
        <f t="shared" si="3"/>
        <v>871059.9474333334</v>
      </c>
      <c r="AO10" s="10">
        <f t="shared" si="3"/>
        <v>1281799.086267042</v>
      </c>
      <c r="AP10" s="14">
        <f t="shared" si="4"/>
        <v>450000</v>
      </c>
      <c r="AQ10" s="71">
        <f t="shared" si="1"/>
        <v>2602859.0337003754</v>
      </c>
      <c r="AS10" s="14">
        <f>1321059.94743333-AV10</f>
        <v>871059.9474333299</v>
      </c>
      <c r="AT10" s="14">
        <v>1281799.0862670415</v>
      </c>
      <c r="AU10" s="14"/>
      <c r="AV10" s="14">
        <v>450000</v>
      </c>
      <c r="AW10" s="71">
        <f t="shared" si="2"/>
        <v>2602859.033700371</v>
      </c>
      <c r="AZ10" s="76"/>
      <c r="BA10" s="76"/>
      <c r="BB10" s="76"/>
    </row>
    <row r="11" spans="1:54" ht="24" thickBot="1" thickTop="1">
      <c r="A11" s="247"/>
      <c r="B11" s="63" t="s">
        <v>4</v>
      </c>
      <c r="C11" s="18"/>
      <c r="D11" s="91">
        <f>Planilha1!F13</f>
        <v>68353.40038333334</v>
      </c>
      <c r="E11" s="90">
        <f>Planilha2!E11</f>
        <v>82319.94246052271</v>
      </c>
      <c r="F11" s="20"/>
      <c r="G11" s="106">
        <f>Planilha1!G13</f>
        <v>61455.50038333333</v>
      </c>
      <c r="H11" s="106">
        <f>Planilha2!F11</f>
        <v>82319.94246052271</v>
      </c>
      <c r="I11" s="47"/>
      <c r="J11" s="90">
        <f>Planilha1!H13</f>
        <v>61155.50038333333</v>
      </c>
      <c r="K11" s="90">
        <f>Planilha2!G11</f>
        <v>82319.94246052271</v>
      </c>
      <c r="L11" s="19"/>
      <c r="M11" s="91">
        <f>Planilha1!I13</f>
        <v>61155.50038333333</v>
      </c>
      <c r="N11" s="90">
        <f>Planilha2!H11</f>
        <v>82319.94246052271</v>
      </c>
      <c r="O11" s="20"/>
      <c r="P11" s="106">
        <f>Planilha1!J13</f>
        <v>61039.36038333333</v>
      </c>
      <c r="Q11" s="106">
        <f>Planilha2!I11</f>
        <v>82319.94246052271</v>
      </c>
      <c r="R11" s="47"/>
      <c r="S11" s="90">
        <f>Planilha1!K13</f>
        <v>61039.36038333333</v>
      </c>
      <c r="T11" s="90">
        <f>Planilha2!J11</f>
        <v>82319.94246052271</v>
      </c>
      <c r="U11" s="19"/>
      <c r="V11" s="91">
        <f>Planilha1!L13</f>
        <v>61039.36038333333</v>
      </c>
      <c r="W11" s="90">
        <f>Planilha2!K11</f>
        <v>82319.94246052271</v>
      </c>
      <c r="X11" s="20"/>
      <c r="Y11" s="107">
        <f>Planilha1!M13</f>
        <v>61039.36038333333</v>
      </c>
      <c r="Z11" s="107">
        <f>Planilha2!L11</f>
        <v>82319.94246052271</v>
      </c>
      <c r="AA11" s="47"/>
      <c r="AB11" s="10">
        <f>Planilha1!N13</f>
        <v>137706.02705</v>
      </c>
      <c r="AC11" s="10">
        <f>Planilha2!M11</f>
        <v>84695.76237094362</v>
      </c>
      <c r="AD11" s="19"/>
      <c r="AE11" s="101">
        <f>Planilha1!O13</f>
        <v>137706.02705</v>
      </c>
      <c r="AF11" s="10">
        <f>Planilha2!N11</f>
        <v>84705.77753094363</v>
      </c>
      <c r="AG11" s="20"/>
      <c r="AH11" s="107">
        <f>Planilha1!P13</f>
        <v>137706.02705</v>
      </c>
      <c r="AI11" s="107">
        <f>Planilha2!O11</f>
        <v>84705.77753094363</v>
      </c>
      <c r="AJ11" s="47"/>
      <c r="AK11" s="10">
        <f>Planilha1!Q13</f>
        <v>47523.180383333325</v>
      </c>
      <c r="AL11" s="10">
        <f>Planilha2!P11</f>
        <v>84705.77753094363</v>
      </c>
      <c r="AM11" s="19"/>
      <c r="AN11" s="10">
        <f t="shared" si="3"/>
        <v>956918.6045999998</v>
      </c>
      <c r="AO11" s="10">
        <f t="shared" si="3"/>
        <v>997372.6346479564</v>
      </c>
      <c r="AP11" s="19">
        <f t="shared" si="4"/>
        <v>0</v>
      </c>
      <c r="AQ11" s="72">
        <f t="shared" si="1"/>
        <v>1954291.2392479563</v>
      </c>
      <c r="AS11" s="19">
        <v>956918.6046000001</v>
      </c>
      <c r="AT11" s="19">
        <v>997372.6346479561</v>
      </c>
      <c r="AU11" s="19"/>
      <c r="AV11" s="19"/>
      <c r="AW11" s="72">
        <f t="shared" si="2"/>
        <v>1954291.2392479563</v>
      </c>
      <c r="AZ11" s="76"/>
      <c r="BA11" s="76"/>
      <c r="BB11" s="76"/>
    </row>
    <row r="12" spans="1:49" ht="42.75" customHeight="1" thickBot="1" thickTop="1">
      <c r="A12" s="256" t="s">
        <v>8</v>
      </c>
      <c r="B12" s="58" t="s">
        <v>5</v>
      </c>
      <c r="C12" s="21"/>
      <c r="D12" s="91">
        <f>Planilha1!F14</f>
        <v>238786.3731</v>
      </c>
      <c r="E12" s="90">
        <f>Planilha2!E12</f>
        <v>95589.5795664762</v>
      </c>
      <c r="F12" s="22"/>
      <c r="G12" s="106">
        <f>Planilha1!G14</f>
        <v>239217.96309999996</v>
      </c>
      <c r="H12" s="106">
        <f>Planilha2!F12</f>
        <v>95589.5795664762</v>
      </c>
      <c r="I12" s="48"/>
      <c r="J12" s="90">
        <f>Planilha1!H14</f>
        <v>239217.96309999996</v>
      </c>
      <c r="K12" s="90">
        <f>Planilha2!G12</f>
        <v>95589.5795664762</v>
      </c>
      <c r="L12" s="10"/>
      <c r="M12" s="91">
        <f>Planilha1!I14</f>
        <v>239217.96309999996</v>
      </c>
      <c r="N12" s="90">
        <f>Planilha2!H12</f>
        <v>95589.5795664762</v>
      </c>
      <c r="O12" s="22"/>
      <c r="P12" s="106">
        <f>Planilha1!J14</f>
        <v>68976.96310000001</v>
      </c>
      <c r="Q12" s="106">
        <f>Planilha2!I12</f>
        <v>95589.5795664762</v>
      </c>
      <c r="R12" s="48"/>
      <c r="S12" s="90">
        <f>Planilha1!K14</f>
        <v>68976.96310000001</v>
      </c>
      <c r="T12" s="90">
        <f>Planilha2!J12</f>
        <v>95589.5795664762</v>
      </c>
      <c r="U12" s="10"/>
      <c r="V12" s="91">
        <f>Planilha1!L14</f>
        <v>68976.96310000001</v>
      </c>
      <c r="W12" s="90">
        <f>Planilha2!K12</f>
        <v>95589.5795664762</v>
      </c>
      <c r="X12" s="22"/>
      <c r="Y12" s="107">
        <f>Planilha1!M14</f>
        <v>68976.96310000001</v>
      </c>
      <c r="Z12" s="107">
        <f>Planilha2!L12</f>
        <v>95589.5795664762</v>
      </c>
      <c r="AA12" s="48"/>
      <c r="AB12" s="10">
        <f>Planilha1!N14</f>
        <v>68976.96310000001</v>
      </c>
      <c r="AC12" s="10">
        <f>Planilha2!M12</f>
        <v>98268.21087193525</v>
      </c>
      <c r="AD12" s="10"/>
      <c r="AE12" s="101">
        <f>Planilha1!O14</f>
        <v>68976.96310000001</v>
      </c>
      <c r="AF12" s="10">
        <f>Planilha2!N12</f>
        <v>98384.70507993526</v>
      </c>
      <c r="AG12" s="22"/>
      <c r="AH12" s="107">
        <f>Planilha1!P14</f>
        <v>68976.96310000001</v>
      </c>
      <c r="AI12" s="107">
        <f>Planilha2!O12</f>
        <v>98384.70507993526</v>
      </c>
      <c r="AJ12" s="48"/>
      <c r="AK12" s="10">
        <f>Planilha1!Q14</f>
        <v>68976.96310000001</v>
      </c>
      <c r="AL12" s="10">
        <f>Planilha2!P12</f>
        <v>98384.70507993526</v>
      </c>
      <c r="AM12" s="10"/>
      <c r="AN12" s="10">
        <f aca="true" t="shared" si="5" ref="AN12:AN18">AK12+AH12+AE12+AB12+Y12+V12+S12+P12+M12+J12+G12+D12</f>
        <v>1508255.9671999998</v>
      </c>
      <c r="AO12" s="10">
        <f aca="true" t="shared" si="6" ref="AO12:AO18">AL12+AI12+AF12+AC12+Z12+W12+T12+Q12+N12+K12+H12+E12</f>
        <v>1158138.9626435505</v>
      </c>
      <c r="AP12" s="10">
        <f t="shared" si="4"/>
        <v>0</v>
      </c>
      <c r="AQ12" s="73">
        <f t="shared" si="1"/>
        <v>2666394.9298435505</v>
      </c>
      <c r="AS12" s="10">
        <v>1508255.9672000003</v>
      </c>
      <c r="AT12" s="10">
        <v>1158138.9626435505</v>
      </c>
      <c r="AU12" s="10"/>
      <c r="AV12" s="10"/>
      <c r="AW12" s="73">
        <f t="shared" si="2"/>
        <v>2666394.9298435505</v>
      </c>
    </row>
    <row r="13" spans="1:55" ht="41.25" customHeight="1" thickBot="1" thickTop="1">
      <c r="A13" s="257"/>
      <c r="B13" s="95" t="s">
        <v>6</v>
      </c>
      <c r="C13" s="13"/>
      <c r="D13" s="91">
        <f>Planilha1!F15</f>
        <v>49811.929599999996</v>
      </c>
      <c r="E13" s="90">
        <f>Planilha2!E13</f>
        <v>106268.71917519812</v>
      </c>
      <c r="F13" s="98"/>
      <c r="G13" s="106">
        <f>Planilha1!G15</f>
        <v>41750.8196</v>
      </c>
      <c r="H13" s="106">
        <f>Planilha2!F13</f>
        <v>106268.71917519812</v>
      </c>
      <c r="I13" s="94"/>
      <c r="J13" s="90">
        <f>Planilha1!H15</f>
        <v>41750.8196</v>
      </c>
      <c r="K13" s="90">
        <f>Planilha2!G13</f>
        <v>106268.71917519812</v>
      </c>
      <c r="L13" s="14"/>
      <c r="M13" s="91">
        <f>Planilha1!I15</f>
        <v>44250.8196</v>
      </c>
      <c r="N13" s="90">
        <f>Planilha2!H13</f>
        <v>106268.71917519812</v>
      </c>
      <c r="O13" s="98"/>
      <c r="P13" s="106">
        <f>Planilha1!J15</f>
        <v>41651.6796</v>
      </c>
      <c r="Q13" s="106">
        <f>Planilha2!I13</f>
        <v>106268.71917519812</v>
      </c>
      <c r="R13" s="94"/>
      <c r="S13" s="90">
        <f>Planilha1!K15</f>
        <v>41651.6796</v>
      </c>
      <c r="T13" s="90">
        <f>Planilha2!J13</f>
        <v>106268.71917519812</v>
      </c>
      <c r="U13" s="14"/>
      <c r="V13" s="91">
        <f>Planilha1!L15</f>
        <v>43851.6796</v>
      </c>
      <c r="W13" s="90">
        <f>Planilha2!K13</f>
        <v>106363.1855286685</v>
      </c>
      <c r="X13" s="98"/>
      <c r="Y13" s="107">
        <f>Planilha1!M15</f>
        <v>42631.6796</v>
      </c>
      <c r="Z13" s="107">
        <f>Planilha2!L13</f>
        <v>106363.1855286685</v>
      </c>
      <c r="AA13" s="94"/>
      <c r="AB13" s="10">
        <f>Planilha1!N15</f>
        <v>41651.6796</v>
      </c>
      <c r="AC13" s="10">
        <f>Planilha2!M13</f>
        <v>108809.77330728213</v>
      </c>
      <c r="AD13" s="14"/>
      <c r="AE13" s="101">
        <f>Planilha1!O15</f>
        <v>41651.6796</v>
      </c>
      <c r="AF13" s="10">
        <f>Planilha2!N13</f>
        <v>108841.40004328212</v>
      </c>
      <c r="AG13" s="98"/>
      <c r="AH13" s="107">
        <f>Planilha1!P15</f>
        <v>111726.9001</v>
      </c>
      <c r="AI13" s="107">
        <f>Planilha2!O13</f>
        <v>108841.40004328212</v>
      </c>
      <c r="AJ13" s="94"/>
      <c r="AK13" s="10">
        <f>Planilha1!Q15</f>
        <v>41726.9001</v>
      </c>
      <c r="AL13" s="10">
        <f>Planilha2!P13</f>
        <v>108841.40004328212</v>
      </c>
      <c r="AM13" s="14"/>
      <c r="AN13" s="14">
        <f t="shared" si="5"/>
        <v>584108.2662000002</v>
      </c>
      <c r="AO13" s="14">
        <f t="shared" si="6"/>
        <v>1285672.659545654</v>
      </c>
      <c r="AP13" s="14">
        <f t="shared" si="4"/>
        <v>0</v>
      </c>
      <c r="AQ13" s="103">
        <f>AP13+AO13+AN13</f>
        <v>1869780.9257456542</v>
      </c>
      <c r="AS13" s="14">
        <v>584108.2662000001</v>
      </c>
      <c r="AT13" s="14">
        <v>1285672.6595456542</v>
      </c>
      <c r="AU13" s="14"/>
      <c r="AV13" s="14"/>
      <c r="AW13" s="103">
        <f t="shared" si="2"/>
        <v>1869780.9257456544</v>
      </c>
      <c r="AZ13" s="80"/>
      <c r="BA13" s="80"/>
      <c r="BB13" s="80"/>
      <c r="BC13" s="80"/>
    </row>
    <row r="14" spans="1:55" ht="82.5" customHeight="1" thickBot="1" thickTop="1">
      <c r="A14" s="95" t="s">
        <v>12</v>
      </c>
      <c r="B14" s="95" t="s">
        <v>56</v>
      </c>
      <c r="C14" s="23"/>
      <c r="D14" s="139">
        <f>Planilha1!F17+Planilha1!F18</f>
        <v>530924.6324833333</v>
      </c>
      <c r="E14" s="141">
        <f>Planilha2!E15</f>
        <v>276612.9728385744</v>
      </c>
      <c r="F14" s="99"/>
      <c r="G14" s="140">
        <f>Planilha1!G17+Planilha1!G18</f>
        <v>493444.94415000005</v>
      </c>
      <c r="H14" s="140">
        <f>Planilha2!F15</f>
        <v>280489.38313857437</v>
      </c>
      <c r="I14" s="93"/>
      <c r="J14" s="141">
        <f>Planilha1!H17+Planilha1!H18</f>
        <v>485154.94415000005</v>
      </c>
      <c r="K14" s="141">
        <f>Planilha2!G15</f>
        <v>276612.9728385744</v>
      </c>
      <c r="L14" s="24"/>
      <c r="M14" s="139">
        <f>Planilha1!I17+Planilha1!I18</f>
        <v>508804.94415000005</v>
      </c>
      <c r="N14" s="141">
        <f>Planilha2!H15</f>
        <v>276612.9728385744</v>
      </c>
      <c r="O14" s="99"/>
      <c r="P14" s="139">
        <f>Planilha1!J17+Planilha1!J18</f>
        <v>485809.95977500005</v>
      </c>
      <c r="Q14" s="140">
        <f>Planilha2!I15</f>
        <v>276612.9728385744</v>
      </c>
      <c r="R14" s="93"/>
      <c r="S14" s="141">
        <f>Planilha1!K17+Planilha1!K18</f>
        <v>1124669.9597749999</v>
      </c>
      <c r="T14" s="141">
        <f>Planilha2!J15</f>
        <v>276612.9728385744</v>
      </c>
      <c r="U14" s="24"/>
      <c r="V14" s="139">
        <f>Planilha1!L17+Planilha1!L18</f>
        <v>1148069.9597749999</v>
      </c>
      <c r="W14" s="141">
        <f>Planilha2!K15</f>
        <v>276612.9728385744</v>
      </c>
      <c r="X14" s="99"/>
      <c r="Y14" s="140">
        <f>Planilha1!M17+Planilha1!M18</f>
        <v>524669.959775</v>
      </c>
      <c r="Z14" s="140">
        <f>Planilha2!L15</f>
        <v>276612.9728385744</v>
      </c>
      <c r="AA14" s="93"/>
      <c r="AB14" s="141">
        <f>Planilha1!N17+Planilha1!N18</f>
        <v>524669.959775</v>
      </c>
      <c r="AC14" s="141">
        <f>Planilha2!M15</f>
        <v>283972.7795857484</v>
      </c>
      <c r="AD14" s="24"/>
      <c r="AE14" s="139">
        <f>Planilha1!O17+Planilha1!O18</f>
        <v>548069.959775</v>
      </c>
      <c r="AF14" s="141">
        <f>Planilha2!N15</f>
        <v>284303.1069537484</v>
      </c>
      <c r="AG14" s="99"/>
      <c r="AH14" s="139">
        <f>Planilha1!P17+Planilha1!P18</f>
        <v>549652.759775</v>
      </c>
      <c r="AI14" s="140">
        <f>Planilha2!O15</f>
        <v>284303.1069537484</v>
      </c>
      <c r="AJ14" s="93"/>
      <c r="AK14" s="141">
        <f>Planilha1!Q17+Planilha1!Q18</f>
        <v>549652.759775</v>
      </c>
      <c r="AL14" s="141">
        <f>Planilha2!P15</f>
        <v>284303.1069537484</v>
      </c>
      <c r="AM14" s="24"/>
      <c r="AN14" s="24">
        <f t="shared" si="5"/>
        <v>7473594.743133333</v>
      </c>
      <c r="AO14" s="24">
        <f t="shared" si="6"/>
        <v>3353662.2934555886</v>
      </c>
      <c r="AP14" s="24">
        <f t="shared" si="4"/>
        <v>0</v>
      </c>
      <c r="AQ14" s="105">
        <f t="shared" si="1"/>
        <v>10827257.036588922</v>
      </c>
      <c r="AS14" s="141">
        <f>Planilha1!D17+Planilha1!D18</f>
        <v>7473594.743133335</v>
      </c>
      <c r="AT14" s="141">
        <f>Planilha2!D15</f>
        <v>3353662.2934555886</v>
      </c>
      <c r="AU14" s="24"/>
      <c r="AV14" s="24"/>
      <c r="AW14" s="105">
        <f t="shared" si="2"/>
        <v>10827257.036588924</v>
      </c>
      <c r="AZ14" s="5">
        <v>10205000</v>
      </c>
      <c r="BA14" s="5">
        <v>50000</v>
      </c>
      <c r="BB14" s="5">
        <v>0</v>
      </c>
      <c r="BC14" s="5">
        <v>10255000</v>
      </c>
    </row>
    <row r="15" spans="1:49" ht="38.25" customHeight="1" thickTop="1">
      <c r="A15" s="258" t="s">
        <v>20</v>
      </c>
      <c r="B15" s="258" t="s">
        <v>19</v>
      </c>
      <c r="C15" s="29" t="s">
        <v>15</v>
      </c>
      <c r="D15" s="248">
        <f>Planilha1!F20+Planilha1!F21</f>
        <v>87500</v>
      </c>
      <c r="E15" s="250"/>
      <c r="F15" s="252"/>
      <c r="G15" s="254">
        <f>Planilha1!G20+Planilha1!G21</f>
        <v>0</v>
      </c>
      <c r="H15" s="254">
        <v>20000</v>
      </c>
      <c r="I15" s="254"/>
      <c r="J15" s="250">
        <v>0</v>
      </c>
      <c r="K15" s="250">
        <v>0</v>
      </c>
      <c r="L15" s="250"/>
      <c r="M15" s="248">
        <v>0</v>
      </c>
      <c r="N15" s="250">
        <v>0</v>
      </c>
      <c r="O15" s="252"/>
      <c r="P15" s="254">
        <v>0</v>
      </c>
      <c r="Q15" s="254"/>
      <c r="R15" s="254"/>
      <c r="S15" s="250">
        <v>0</v>
      </c>
      <c r="T15" s="250">
        <v>0</v>
      </c>
      <c r="U15" s="250"/>
      <c r="V15" s="248">
        <v>0</v>
      </c>
      <c r="W15" s="250">
        <v>0</v>
      </c>
      <c r="X15" s="252"/>
      <c r="Y15" s="254">
        <v>0</v>
      </c>
      <c r="Z15" s="254">
        <v>0</v>
      </c>
      <c r="AA15" s="254"/>
      <c r="AB15" s="250">
        <v>0</v>
      </c>
      <c r="AC15" s="250">
        <v>0</v>
      </c>
      <c r="AD15" s="250"/>
      <c r="AE15" s="248">
        <v>0</v>
      </c>
      <c r="AF15" s="250">
        <v>0</v>
      </c>
      <c r="AG15" s="252"/>
      <c r="AH15" s="254">
        <v>100000</v>
      </c>
      <c r="AI15" s="254">
        <v>0</v>
      </c>
      <c r="AJ15" s="254"/>
      <c r="AK15" s="250">
        <v>130000</v>
      </c>
      <c r="AL15" s="250">
        <v>100000</v>
      </c>
      <c r="AM15" s="250"/>
      <c r="AN15" s="250">
        <f t="shared" si="5"/>
        <v>317500</v>
      </c>
      <c r="AO15" s="250">
        <f t="shared" si="6"/>
        <v>120000</v>
      </c>
      <c r="AP15" s="250">
        <f t="shared" si="4"/>
        <v>0</v>
      </c>
      <c r="AQ15" s="272">
        <f aca="true" t="shared" si="7" ref="AQ15:AQ25">AP15+AO15+AN15</f>
        <v>437500</v>
      </c>
      <c r="AS15" s="275">
        <f>Planilha1!F20+Planilha1!D21</f>
        <v>317500</v>
      </c>
      <c r="AT15" s="250">
        <f>Planilha2!D18+Planilha2!D19</f>
        <v>120000</v>
      </c>
      <c r="AU15" s="250"/>
      <c r="AV15" s="250"/>
      <c r="AW15" s="272">
        <f aca="true" t="shared" si="8" ref="AW15:AW25">SUM(AS15:AV15)</f>
        <v>437500</v>
      </c>
    </row>
    <row r="16" spans="1:49" ht="36" customHeight="1" thickBot="1">
      <c r="A16" s="259"/>
      <c r="B16" s="259"/>
      <c r="C16" s="30" t="s">
        <v>16</v>
      </c>
      <c r="D16" s="249"/>
      <c r="E16" s="251"/>
      <c r="F16" s="253"/>
      <c r="G16" s="255"/>
      <c r="H16" s="255"/>
      <c r="I16" s="255"/>
      <c r="J16" s="251"/>
      <c r="K16" s="251"/>
      <c r="L16" s="251"/>
      <c r="M16" s="249"/>
      <c r="N16" s="251"/>
      <c r="O16" s="253"/>
      <c r="P16" s="255"/>
      <c r="Q16" s="255"/>
      <c r="R16" s="255"/>
      <c r="S16" s="251"/>
      <c r="T16" s="251"/>
      <c r="U16" s="251"/>
      <c r="V16" s="249"/>
      <c r="W16" s="251"/>
      <c r="X16" s="253"/>
      <c r="Y16" s="255"/>
      <c r="Z16" s="255"/>
      <c r="AA16" s="255"/>
      <c r="AB16" s="251"/>
      <c r="AC16" s="251"/>
      <c r="AD16" s="251"/>
      <c r="AE16" s="249"/>
      <c r="AF16" s="251"/>
      <c r="AG16" s="253"/>
      <c r="AH16" s="255"/>
      <c r="AI16" s="255"/>
      <c r="AJ16" s="255"/>
      <c r="AK16" s="251"/>
      <c r="AL16" s="251"/>
      <c r="AM16" s="251"/>
      <c r="AN16" s="251">
        <f t="shared" si="5"/>
        <v>0</v>
      </c>
      <c r="AO16" s="251">
        <f t="shared" si="6"/>
        <v>0</v>
      </c>
      <c r="AP16" s="251">
        <f t="shared" si="4"/>
        <v>0</v>
      </c>
      <c r="AQ16" s="273">
        <f t="shared" si="7"/>
        <v>0</v>
      </c>
      <c r="AS16" s="276"/>
      <c r="AT16" s="251"/>
      <c r="AU16" s="251"/>
      <c r="AV16" s="251"/>
      <c r="AW16" s="273">
        <f t="shared" si="8"/>
        <v>0</v>
      </c>
    </row>
    <row r="17" spans="1:49" ht="27" customHeight="1" thickTop="1">
      <c r="A17" s="259"/>
      <c r="B17" s="269" t="s">
        <v>9</v>
      </c>
      <c r="C17" s="31" t="s">
        <v>46</v>
      </c>
      <c r="D17" s="234">
        <v>0</v>
      </c>
      <c r="E17" s="234"/>
      <c r="F17" s="234"/>
      <c r="G17" s="234">
        <v>3000000</v>
      </c>
      <c r="H17" s="234">
        <v>0</v>
      </c>
      <c r="I17" s="234"/>
      <c r="J17" s="234">
        <v>2600000</v>
      </c>
      <c r="K17" s="234">
        <v>0</v>
      </c>
      <c r="L17" s="234"/>
      <c r="M17" s="234">
        <v>4015000</v>
      </c>
      <c r="N17" s="234">
        <v>0</v>
      </c>
      <c r="O17" s="234"/>
      <c r="P17" s="234">
        <v>488000</v>
      </c>
      <c r="Q17" s="234">
        <v>0</v>
      </c>
      <c r="R17" s="234"/>
      <c r="S17" s="234">
        <v>102000</v>
      </c>
      <c r="T17" s="234">
        <v>50000</v>
      </c>
      <c r="U17" s="234"/>
      <c r="V17" s="234">
        <v>0</v>
      </c>
      <c r="W17" s="234">
        <v>0</v>
      </c>
      <c r="X17" s="234"/>
      <c r="Y17" s="234">
        <v>0</v>
      </c>
      <c r="Z17" s="234">
        <v>0</v>
      </c>
      <c r="AA17" s="234"/>
      <c r="AB17" s="234">
        <v>0</v>
      </c>
      <c r="AC17" s="234">
        <v>0</v>
      </c>
      <c r="AD17" s="234"/>
      <c r="AE17" s="234">
        <v>0</v>
      </c>
      <c r="AF17" s="234">
        <v>0</v>
      </c>
      <c r="AG17" s="234"/>
      <c r="AH17" s="234">
        <v>0</v>
      </c>
      <c r="AI17" s="234">
        <v>0</v>
      </c>
      <c r="AJ17" s="234"/>
      <c r="AK17" s="234"/>
      <c r="AL17" s="234">
        <v>0</v>
      </c>
      <c r="AM17" s="234"/>
      <c r="AN17" s="250">
        <f t="shared" si="5"/>
        <v>10205000</v>
      </c>
      <c r="AO17" s="250">
        <f t="shared" si="6"/>
        <v>50000</v>
      </c>
      <c r="AP17" s="250">
        <f t="shared" si="4"/>
        <v>0</v>
      </c>
      <c r="AQ17" s="272">
        <f>AP17+AO17+AN17</f>
        <v>10255000</v>
      </c>
      <c r="AS17" s="251">
        <f>Planilha1!D19</f>
        <v>10205000</v>
      </c>
      <c r="AT17" s="251">
        <v>50000</v>
      </c>
      <c r="AU17" s="251"/>
      <c r="AV17" s="251"/>
      <c r="AW17" s="273">
        <f t="shared" si="8"/>
        <v>10255000</v>
      </c>
    </row>
    <row r="18" spans="1:53" ht="32.25" customHeight="1" thickBot="1">
      <c r="A18" s="260"/>
      <c r="B18" s="270"/>
      <c r="C18" s="32" t="s">
        <v>17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51">
        <f t="shared" si="5"/>
        <v>0</v>
      </c>
      <c r="AO18" s="251">
        <f t="shared" si="6"/>
        <v>0</v>
      </c>
      <c r="AP18" s="251">
        <f t="shared" si="4"/>
        <v>0</v>
      </c>
      <c r="AQ18" s="273">
        <f>AP18+AO18+AN18</f>
        <v>0</v>
      </c>
      <c r="AS18" s="271"/>
      <c r="AT18" s="271"/>
      <c r="AU18" s="271"/>
      <c r="AV18" s="271"/>
      <c r="AW18" s="274">
        <f t="shared" si="8"/>
        <v>0</v>
      </c>
      <c r="AZ18" s="144">
        <f>AZ19-AS19</f>
        <v>0</v>
      </c>
      <c r="BA18" s="144">
        <f>BA19-AT19</f>
        <v>0</v>
      </c>
    </row>
    <row r="19" spans="1:53" ht="54" customHeight="1" thickBot="1" thickTop="1">
      <c r="A19" s="59" t="s">
        <v>10</v>
      </c>
      <c r="B19" s="59" t="s">
        <v>11</v>
      </c>
      <c r="C19" s="26" t="s">
        <v>14</v>
      </c>
      <c r="D19" s="142">
        <f>Planilha1!F16</f>
        <v>145228.58106666667</v>
      </c>
      <c r="E19" s="142">
        <f>Planilha2!E14</f>
        <v>183575.71837820119</v>
      </c>
      <c r="F19" s="28"/>
      <c r="G19" s="143">
        <f>Planilha1!G16</f>
        <v>139578.58106666667</v>
      </c>
      <c r="H19" s="143">
        <f>Planilha2!F14</f>
        <v>183575.71837820119</v>
      </c>
      <c r="I19" s="45"/>
      <c r="J19" s="142">
        <f>Planilha1!H16</f>
        <v>137508.58106666667</v>
      </c>
      <c r="K19" s="142">
        <f>Planilha2!G14</f>
        <v>183575.71837820119</v>
      </c>
      <c r="L19" s="27"/>
      <c r="M19" s="142">
        <f>Planilha1!I16</f>
        <v>136578.58106666667</v>
      </c>
      <c r="N19" s="142">
        <f>Planilha2!H14</f>
        <v>183575.71837820119</v>
      </c>
      <c r="O19" s="28"/>
      <c r="P19" s="142">
        <f>Planilha1!J16</f>
        <v>133906.03106666665</v>
      </c>
      <c r="Q19" s="143">
        <f>Planilha2!I14</f>
        <v>183575.71837820119</v>
      </c>
      <c r="R19" s="45"/>
      <c r="S19" s="142">
        <f>Planilha1!K16</f>
        <v>138769.83106666667</v>
      </c>
      <c r="T19" s="142">
        <f>Planilha2!J14</f>
        <v>183575.71837820119</v>
      </c>
      <c r="U19" s="27"/>
      <c r="V19" s="142">
        <f>Planilha1!L16</f>
        <v>133639.83106666667</v>
      </c>
      <c r="W19" s="142">
        <f>Planilha2!K14</f>
        <v>183834.13130109472</v>
      </c>
      <c r="X19" s="28"/>
      <c r="Y19" s="143">
        <f>Planilha1!M16</f>
        <v>133578.38606666666</v>
      </c>
      <c r="Z19" s="143">
        <f>Planilha2!L14</f>
        <v>183834.13130109472</v>
      </c>
      <c r="AA19" s="45"/>
      <c r="AB19" s="142">
        <f>Planilha1!N16</f>
        <v>134508.38606666666</v>
      </c>
      <c r="AC19" s="142">
        <f>Planilha2!M14</f>
        <v>188715.08139670797</v>
      </c>
      <c r="AD19" s="27"/>
      <c r="AE19" s="142">
        <f>Planilha1!O16</f>
        <v>134202.38606666666</v>
      </c>
      <c r="AF19" s="142">
        <f>Planilha2!N14</f>
        <v>188964.19506870798</v>
      </c>
      <c r="AG19" s="28"/>
      <c r="AH19" s="142">
        <f>Planilha1!P16</f>
        <v>133424.78606666665</v>
      </c>
      <c r="AI19" s="143">
        <f>Planilha2!O14</f>
        <v>188964.19506870798</v>
      </c>
      <c r="AJ19" s="45"/>
      <c r="AK19" s="142">
        <f>Planilha1!Q16</f>
        <v>81163.07606666666</v>
      </c>
      <c r="AL19" s="142">
        <f>Planilha2!P14</f>
        <v>188964.19506870798</v>
      </c>
      <c r="AM19" s="27"/>
      <c r="AN19" s="27">
        <f>AK19+AH19+AE19+AB19+Y19+V19+S19+P19+M19+J19+G19+D19</f>
        <v>1582087.0377999998</v>
      </c>
      <c r="AO19" s="27">
        <f>AL19+AI19+AF19+AC19+Z19+W19+T19+Q19+N19+K19+H19+E19</f>
        <v>2224730.2394742286</v>
      </c>
      <c r="AP19" s="27">
        <f>AM19+AJ19+AG19+AD19+AA19+X19+U19+R19+O19+L19+I19+F19</f>
        <v>0</v>
      </c>
      <c r="AQ19" s="74">
        <f>AP19+AO19+AN19</f>
        <v>3806817.2772742286</v>
      </c>
      <c r="AS19" s="142">
        <f>Planilha1!D16</f>
        <v>1582087.0377999998</v>
      </c>
      <c r="AT19" s="142">
        <f>Planilha2!D14</f>
        <v>2224730.2394742286</v>
      </c>
      <c r="AU19" s="27"/>
      <c r="AV19" s="27"/>
      <c r="AW19" s="74">
        <f>SUM(AS19:AV19)</f>
        <v>3806817.2772742286</v>
      </c>
      <c r="AZ19" s="5">
        <v>1582087.0377999998</v>
      </c>
      <c r="BA19" s="5">
        <v>2224730.2394742286</v>
      </c>
    </row>
    <row r="20" spans="1:52" ht="21" customHeight="1" thickBot="1" thickTop="1">
      <c r="A20" s="261" t="s">
        <v>18</v>
      </c>
      <c r="B20" s="261" t="s">
        <v>13</v>
      </c>
      <c r="C20" s="33" t="s">
        <v>41</v>
      </c>
      <c r="D20" s="50">
        <f>D21+D22+D23+D24+D25</f>
        <v>1617036.5909545454</v>
      </c>
      <c r="E20" s="263">
        <f>Planilha2!E20</f>
        <v>101006.27894003107</v>
      </c>
      <c r="F20" s="11"/>
      <c r="G20" s="51">
        <f>G21+G22+G23+G24+G25</f>
        <v>1638096.22</v>
      </c>
      <c r="H20" s="265">
        <f>Planilha2!F20</f>
        <v>101006.27894003107</v>
      </c>
      <c r="I20" s="61"/>
      <c r="J20" s="52">
        <f>J21+J22+J23+J24+J25</f>
        <v>1587524.79</v>
      </c>
      <c r="K20" s="267">
        <f>Planilha2!G20</f>
        <v>101006.27894003107</v>
      </c>
      <c r="L20" s="10"/>
      <c r="M20" s="50">
        <f>M21+M22+M23+M24+M25</f>
        <v>1672080.36</v>
      </c>
      <c r="N20" s="263">
        <f>Planilha2!H20</f>
        <v>101006.27894003107</v>
      </c>
      <c r="O20" s="11"/>
      <c r="P20" s="50">
        <f>P21+P22+P23+P24+P25</f>
        <v>1471124.6</v>
      </c>
      <c r="Q20" s="265">
        <f>Planilha2!I20</f>
        <v>101006.27894003107</v>
      </c>
      <c r="R20" s="61"/>
      <c r="S20" s="50">
        <f>S21+S22+S23+S24+S25</f>
        <v>1408955.59</v>
      </c>
      <c r="T20" s="267">
        <v>101006.28</v>
      </c>
      <c r="U20" s="10"/>
      <c r="V20" s="50">
        <f>V21+V22+V23+V24+V25</f>
        <v>1672190.1600000001</v>
      </c>
      <c r="W20" s="263">
        <v>101006.28</v>
      </c>
      <c r="X20" s="11"/>
      <c r="Y20" s="50">
        <f>Y21+Y22+Y23+Y24+Y25</f>
        <v>1503290.45</v>
      </c>
      <c r="Z20" s="265">
        <f>Planilha2!L20</f>
        <v>101006.27894003107</v>
      </c>
      <c r="AA20" s="61"/>
      <c r="AB20" s="50">
        <f>AB21+AB22+AB23+AB24+AB25</f>
        <v>1757717.9000000001</v>
      </c>
      <c r="AC20" s="267">
        <f>Planilha2!M20</f>
        <v>103732.7144399643</v>
      </c>
      <c r="AD20" s="10"/>
      <c r="AE20" s="50">
        <f>AE21+AE22+AE23+AE24+AE25</f>
        <v>1608079.69</v>
      </c>
      <c r="AF20" s="263">
        <f>Planilha2!N20</f>
        <v>103739.21156796429</v>
      </c>
      <c r="AG20" s="11"/>
      <c r="AH20" s="50">
        <f>AH21+AH22+AH23+AH24+AH25</f>
        <v>1608640.71</v>
      </c>
      <c r="AI20" s="265">
        <f>Planilha2!O20</f>
        <v>103739.21156796429</v>
      </c>
      <c r="AJ20" s="61"/>
      <c r="AK20" s="50">
        <f>AK21+AK22+AK23+AK24+AK25</f>
        <v>1655800.06</v>
      </c>
      <c r="AL20" s="267">
        <f>Planilha2!P20</f>
        <v>103739.21156796429</v>
      </c>
      <c r="AM20" s="10"/>
      <c r="AN20" s="50">
        <f>SUM(AN21:AN25)</f>
        <v>19200537.120954543</v>
      </c>
      <c r="AO20" s="267">
        <f aca="true" t="shared" si="9" ref="AO20:AO25">AL20+AI20+AF20+AC20+Z20+W20+T20+Q20+N20+K20+H20+E20</f>
        <v>1223000.5827840436</v>
      </c>
      <c r="AP20" s="10">
        <f aca="true" t="shared" si="10" ref="AP20:AP36">AM20+AJ20+AG20+AD20+AA20+X20+U20+R20+O20+L20+I20+F20</f>
        <v>0</v>
      </c>
      <c r="AQ20" s="277">
        <f>AP20+AO20+AN20</f>
        <v>20423537.703738585</v>
      </c>
      <c r="AS20" s="50">
        <f>Planilha1!D22+Planilha1!D23+Planilha1!D24+Planilha1!D25</f>
        <v>19200537.096080262</v>
      </c>
      <c r="AT20" s="279">
        <f>Planilha2!D20</f>
        <v>1223000.580664106</v>
      </c>
      <c r="AU20" s="10"/>
      <c r="AV20" s="10"/>
      <c r="AW20" s="277">
        <f t="shared" si="8"/>
        <v>20423537.676744368</v>
      </c>
      <c r="AZ20" s="76">
        <f>AZ21+AZ22+AZ23+AZ24+AZ25</f>
        <v>19200537.120954543</v>
      </c>
    </row>
    <row r="21" spans="1:53" ht="49.5" customHeight="1" thickTop="1">
      <c r="A21" s="262"/>
      <c r="B21" s="262"/>
      <c r="C21" s="34" t="s">
        <v>57</v>
      </c>
      <c r="D21" s="14">
        <v>1497790.4354545455</v>
      </c>
      <c r="E21" s="264"/>
      <c r="F21" s="17"/>
      <c r="G21" s="46">
        <v>1531624.18</v>
      </c>
      <c r="H21" s="266"/>
      <c r="I21" s="46"/>
      <c r="J21" s="14">
        <v>1482852.75</v>
      </c>
      <c r="K21" s="268"/>
      <c r="L21" s="14"/>
      <c r="M21" s="14">
        <v>1565137.8</v>
      </c>
      <c r="N21" s="264"/>
      <c r="O21" s="17"/>
      <c r="P21" s="46">
        <v>1358040.04</v>
      </c>
      <c r="Q21" s="266"/>
      <c r="R21" s="46"/>
      <c r="S21" s="14">
        <v>1302733.03</v>
      </c>
      <c r="T21" s="268"/>
      <c r="U21" s="14"/>
      <c r="V21" s="14">
        <f>1611807.6-144100</f>
        <v>1467707.6</v>
      </c>
      <c r="W21" s="264"/>
      <c r="X21" s="17"/>
      <c r="Y21" s="46">
        <f>1442547.89-131000</f>
        <v>1311547.89</v>
      </c>
      <c r="Z21" s="266"/>
      <c r="AA21" s="46"/>
      <c r="AB21" s="14">
        <f>1699495.34-144100</f>
        <v>1555395.34</v>
      </c>
      <c r="AC21" s="268"/>
      <c r="AD21" s="14"/>
      <c r="AE21" s="14">
        <f>1549497.13-131000</f>
        <v>1418497.13</v>
      </c>
      <c r="AF21" s="264"/>
      <c r="AG21" s="17"/>
      <c r="AH21" s="46">
        <f>1544636.15-144100</f>
        <v>1400536.15</v>
      </c>
      <c r="AI21" s="266"/>
      <c r="AJ21" s="46"/>
      <c r="AK21" s="14">
        <f>1598297.5-144100</f>
        <v>1454197.5</v>
      </c>
      <c r="AL21" s="268"/>
      <c r="AM21" s="14"/>
      <c r="AN21" s="14">
        <f>AK21+AH21+AE21+AB21+Y21+V21+S21+P21+M21+J21+G21+D21</f>
        <v>17346059.845454544</v>
      </c>
      <c r="AO21" s="268">
        <f t="shared" si="9"/>
        <v>0</v>
      </c>
      <c r="AP21" s="14">
        <f t="shared" si="10"/>
        <v>0</v>
      </c>
      <c r="AQ21" s="278">
        <f t="shared" si="7"/>
        <v>17346059.845454544</v>
      </c>
      <c r="AS21" s="14"/>
      <c r="AT21" s="280"/>
      <c r="AU21" s="14"/>
      <c r="AV21" s="14"/>
      <c r="AW21" s="278">
        <f t="shared" si="8"/>
        <v>0</v>
      </c>
      <c r="AZ21" s="5">
        <v>17346059.845454544</v>
      </c>
      <c r="BA21" s="76">
        <v>1223000.5827840436</v>
      </c>
    </row>
    <row r="22" spans="1:52" ht="47.25" customHeight="1">
      <c r="A22" s="262"/>
      <c r="B22" s="262"/>
      <c r="C22" s="35" t="s">
        <v>58</v>
      </c>
      <c r="D22" s="14">
        <v>0</v>
      </c>
      <c r="E22" s="264"/>
      <c r="F22" s="17"/>
      <c r="G22" s="46">
        <v>0</v>
      </c>
      <c r="H22" s="266"/>
      <c r="I22" s="46"/>
      <c r="J22" s="14">
        <v>0</v>
      </c>
      <c r="K22" s="268"/>
      <c r="L22" s="14"/>
      <c r="M22" s="14">
        <v>0</v>
      </c>
      <c r="N22" s="264"/>
      <c r="O22" s="17"/>
      <c r="P22" s="46">
        <v>0</v>
      </c>
      <c r="Q22" s="266"/>
      <c r="R22" s="46"/>
      <c r="S22" s="14">
        <v>0</v>
      </c>
      <c r="T22" s="268"/>
      <c r="U22" s="14"/>
      <c r="V22" s="14">
        <v>144100</v>
      </c>
      <c r="W22" s="264"/>
      <c r="X22" s="17"/>
      <c r="Y22" s="46">
        <v>131000</v>
      </c>
      <c r="Z22" s="266"/>
      <c r="AA22" s="46"/>
      <c r="AB22" s="14">
        <v>144100</v>
      </c>
      <c r="AC22" s="268"/>
      <c r="AD22" s="14"/>
      <c r="AE22" s="14">
        <v>131000</v>
      </c>
      <c r="AF22" s="264"/>
      <c r="AG22" s="17"/>
      <c r="AH22" s="46">
        <v>144100</v>
      </c>
      <c r="AI22" s="266"/>
      <c r="AJ22" s="46"/>
      <c r="AK22" s="14">
        <v>144100</v>
      </c>
      <c r="AL22" s="268"/>
      <c r="AM22" s="14"/>
      <c r="AN22" s="14">
        <f aca="true" t="shared" si="11" ref="AN22:AN35">AK22+AH22+AE22+AB22+Y22+V22+S22+P22+M22+J22+G22+D22</f>
        <v>838400</v>
      </c>
      <c r="AO22" s="268">
        <f t="shared" si="9"/>
        <v>0</v>
      </c>
      <c r="AP22" s="14">
        <f t="shared" si="10"/>
        <v>0</v>
      </c>
      <c r="AQ22" s="278">
        <f t="shared" si="7"/>
        <v>838400</v>
      </c>
      <c r="AS22" s="14"/>
      <c r="AT22" s="280"/>
      <c r="AU22" s="14"/>
      <c r="AV22" s="14"/>
      <c r="AW22" s="278">
        <f t="shared" si="8"/>
        <v>0</v>
      </c>
      <c r="AZ22" s="5">
        <v>838400</v>
      </c>
    </row>
    <row r="23" spans="1:52" ht="38.25" customHeight="1">
      <c r="A23" s="262"/>
      <c r="B23" s="262"/>
      <c r="C23" s="35" t="s">
        <v>59</v>
      </c>
      <c r="D23" s="14">
        <v>10905.9655</v>
      </c>
      <c r="E23" s="264"/>
      <c r="F23" s="17"/>
      <c r="G23" s="46">
        <v>10185.97</v>
      </c>
      <c r="H23" s="266"/>
      <c r="I23" s="46"/>
      <c r="J23" s="14">
        <v>8385.97</v>
      </c>
      <c r="K23" s="268"/>
      <c r="L23" s="14"/>
      <c r="M23" s="14">
        <v>9105.97</v>
      </c>
      <c r="N23" s="264"/>
      <c r="O23" s="17"/>
      <c r="P23" s="46">
        <v>15247.97</v>
      </c>
      <c r="Q23" s="266"/>
      <c r="R23" s="46"/>
      <c r="S23" s="14">
        <v>8385.97</v>
      </c>
      <c r="T23" s="268"/>
      <c r="U23" s="14"/>
      <c r="V23" s="14">
        <v>10545.97</v>
      </c>
      <c r="W23" s="264"/>
      <c r="X23" s="17"/>
      <c r="Y23" s="46">
        <v>10905.97</v>
      </c>
      <c r="Z23" s="266"/>
      <c r="AA23" s="46"/>
      <c r="AB23" s="14">
        <v>8385.97</v>
      </c>
      <c r="AC23" s="268"/>
      <c r="AD23" s="14"/>
      <c r="AE23" s="14">
        <v>8745.97</v>
      </c>
      <c r="AF23" s="264"/>
      <c r="AG23" s="17"/>
      <c r="AH23" s="46">
        <v>14167.97</v>
      </c>
      <c r="AI23" s="266"/>
      <c r="AJ23" s="46"/>
      <c r="AK23" s="14">
        <v>7665.97</v>
      </c>
      <c r="AL23" s="268"/>
      <c r="AM23" s="14"/>
      <c r="AN23" s="14">
        <f t="shared" si="11"/>
        <v>122635.6355</v>
      </c>
      <c r="AO23" s="268">
        <f t="shared" si="9"/>
        <v>0</v>
      </c>
      <c r="AP23" s="14">
        <f t="shared" si="10"/>
        <v>0</v>
      </c>
      <c r="AQ23" s="278">
        <f t="shared" si="7"/>
        <v>122635.6355</v>
      </c>
      <c r="AS23" s="14"/>
      <c r="AT23" s="280"/>
      <c r="AU23" s="14"/>
      <c r="AV23" s="14"/>
      <c r="AW23" s="278">
        <f t="shared" si="8"/>
        <v>0</v>
      </c>
      <c r="AZ23" s="5">
        <v>122635.6355</v>
      </c>
    </row>
    <row r="24" spans="1:52" ht="38.25" customHeight="1">
      <c r="A24" s="262"/>
      <c r="B24" s="262"/>
      <c r="C24" s="35" t="s">
        <v>60</v>
      </c>
      <c r="D24" s="14">
        <v>51000</v>
      </c>
      <c r="E24" s="264"/>
      <c r="F24" s="17"/>
      <c r="G24" s="46">
        <v>51000</v>
      </c>
      <c r="H24" s="266"/>
      <c r="I24" s="46"/>
      <c r="J24" s="14">
        <v>51000</v>
      </c>
      <c r="K24" s="268"/>
      <c r="L24" s="14"/>
      <c r="M24" s="14">
        <v>51000</v>
      </c>
      <c r="N24" s="264"/>
      <c r="O24" s="17"/>
      <c r="P24" s="46">
        <v>51000</v>
      </c>
      <c r="Q24" s="266"/>
      <c r="R24" s="46"/>
      <c r="S24" s="14">
        <v>51000</v>
      </c>
      <c r="T24" s="268"/>
      <c r="U24" s="14"/>
      <c r="V24" s="14">
        <v>3000</v>
      </c>
      <c r="W24" s="264"/>
      <c r="X24" s="17"/>
      <c r="Y24" s="46">
        <v>3000</v>
      </c>
      <c r="Z24" s="266"/>
      <c r="AA24" s="46"/>
      <c r="AB24" s="14">
        <v>3000</v>
      </c>
      <c r="AC24" s="268"/>
      <c r="AD24" s="14"/>
      <c r="AE24" s="14">
        <v>3000</v>
      </c>
      <c r="AF24" s="264"/>
      <c r="AG24" s="17"/>
      <c r="AH24" s="46">
        <v>3000</v>
      </c>
      <c r="AI24" s="266"/>
      <c r="AJ24" s="46"/>
      <c r="AK24" s="14">
        <v>3000</v>
      </c>
      <c r="AL24" s="268"/>
      <c r="AM24" s="14"/>
      <c r="AN24" s="14">
        <f t="shared" si="11"/>
        <v>324000</v>
      </c>
      <c r="AO24" s="268">
        <f t="shared" si="9"/>
        <v>0</v>
      </c>
      <c r="AP24" s="14">
        <f t="shared" si="10"/>
        <v>0</v>
      </c>
      <c r="AQ24" s="278">
        <f t="shared" si="7"/>
        <v>324000</v>
      </c>
      <c r="AS24" s="14"/>
      <c r="AT24" s="280"/>
      <c r="AU24" s="14"/>
      <c r="AV24" s="14"/>
      <c r="AW24" s="278">
        <f t="shared" si="8"/>
        <v>0</v>
      </c>
      <c r="AZ24" s="5">
        <v>324000</v>
      </c>
    </row>
    <row r="25" spans="1:52" ht="38.25" customHeight="1" thickBot="1">
      <c r="A25" s="262"/>
      <c r="B25" s="262"/>
      <c r="C25" s="30" t="s">
        <v>61</v>
      </c>
      <c r="D25" s="19">
        <v>57340.19</v>
      </c>
      <c r="E25" s="264"/>
      <c r="F25" s="17"/>
      <c r="G25" s="46">
        <v>45286.07</v>
      </c>
      <c r="H25" s="266"/>
      <c r="I25" s="46"/>
      <c r="J25" s="14">
        <v>45286.07</v>
      </c>
      <c r="K25" s="268"/>
      <c r="L25" s="14"/>
      <c r="M25" s="14">
        <v>46836.59</v>
      </c>
      <c r="N25" s="264"/>
      <c r="O25" s="17"/>
      <c r="P25" s="46">
        <v>46836.59</v>
      </c>
      <c r="Q25" s="266"/>
      <c r="R25" s="46"/>
      <c r="S25" s="14">
        <v>46836.59</v>
      </c>
      <c r="T25" s="268"/>
      <c r="U25" s="14"/>
      <c r="V25" s="14">
        <v>46836.59</v>
      </c>
      <c r="W25" s="264"/>
      <c r="X25" s="17"/>
      <c r="Y25" s="46">
        <v>46836.59</v>
      </c>
      <c r="Z25" s="266"/>
      <c r="AA25" s="46"/>
      <c r="AB25" s="14">
        <v>46836.59</v>
      </c>
      <c r="AC25" s="268"/>
      <c r="AD25" s="14"/>
      <c r="AE25" s="14">
        <v>46836.59</v>
      </c>
      <c r="AF25" s="264"/>
      <c r="AG25" s="17"/>
      <c r="AH25" s="46">
        <v>46836.59</v>
      </c>
      <c r="AI25" s="266"/>
      <c r="AJ25" s="46"/>
      <c r="AK25" s="14">
        <v>46836.59</v>
      </c>
      <c r="AL25" s="268"/>
      <c r="AM25" s="14"/>
      <c r="AN25" s="14">
        <f t="shared" si="11"/>
        <v>569441.6399999999</v>
      </c>
      <c r="AO25" s="268">
        <f t="shared" si="9"/>
        <v>0</v>
      </c>
      <c r="AP25" s="14">
        <f t="shared" si="10"/>
        <v>0</v>
      </c>
      <c r="AQ25" s="278">
        <f t="shared" si="7"/>
        <v>569441.6399999999</v>
      </c>
      <c r="AS25" s="14"/>
      <c r="AT25" s="280"/>
      <c r="AU25" s="14"/>
      <c r="AV25" s="14"/>
      <c r="AW25" s="278">
        <f t="shared" si="8"/>
        <v>0</v>
      </c>
      <c r="AZ25" s="5">
        <v>569441.6399999999</v>
      </c>
    </row>
    <row r="26" spans="1:49" ht="24" customHeight="1" thickTop="1">
      <c r="A26" s="261" t="s">
        <v>22</v>
      </c>
      <c r="B26" s="261" t="s">
        <v>21</v>
      </c>
      <c r="C26" s="29" t="s">
        <v>50</v>
      </c>
      <c r="D26" s="43">
        <f>D27+D28+D29+D30</f>
        <v>6370219</v>
      </c>
      <c r="E26" s="263">
        <f>Planilha2!E21</f>
        <v>365420.15101274586</v>
      </c>
      <c r="F26" s="37"/>
      <c r="G26" s="44">
        <f>G27+G28+G29+G30</f>
        <v>6294719</v>
      </c>
      <c r="H26" s="265">
        <f>Planilha2!F21</f>
        <v>365420.15101274586</v>
      </c>
      <c r="I26" s="42"/>
      <c r="J26" s="43">
        <f>J27+J28+J29+J30</f>
        <v>6348719</v>
      </c>
      <c r="K26" s="267">
        <f>Planilha2!G21</f>
        <v>365420.15101274586</v>
      </c>
      <c r="L26" s="24"/>
      <c r="M26" s="43">
        <f>M27+M28+M29+M30</f>
        <v>6233719</v>
      </c>
      <c r="N26" s="263">
        <f>Planilha2!H21</f>
        <v>365420.15101274586</v>
      </c>
      <c r="O26" s="37"/>
      <c r="P26" s="44">
        <f>P27+P28+P29</f>
        <v>6313719</v>
      </c>
      <c r="Q26" s="265">
        <f>Planilha2!I21</f>
        <v>365420.15101274586</v>
      </c>
      <c r="R26" s="42"/>
      <c r="S26" s="43">
        <f>S27+S28+S29</f>
        <v>6233719</v>
      </c>
      <c r="T26" s="267">
        <f>Planilha2!J21</f>
        <v>365420.15101274586</v>
      </c>
      <c r="U26" s="24"/>
      <c r="V26" s="43">
        <f>V27+V28+V29</f>
        <v>0</v>
      </c>
      <c r="W26" s="263">
        <f>Planilha2!K21</f>
        <v>365420.15101274586</v>
      </c>
      <c r="X26" s="37"/>
      <c r="Y26" s="44">
        <f>Y27+Y28+Y29</f>
        <v>0</v>
      </c>
      <c r="Z26" s="265">
        <f>Planilha2!L21</f>
        <v>365420.15101274586</v>
      </c>
      <c r="AA26" s="42"/>
      <c r="AB26" s="43">
        <f>AB27+AB28+AB29</f>
        <v>0</v>
      </c>
      <c r="AC26" s="267">
        <f>Planilha2!M21</f>
        <v>373932.3071684875</v>
      </c>
      <c r="AD26" s="24"/>
      <c r="AE26" s="43">
        <f>AE27+AE28+AE29</f>
        <v>0</v>
      </c>
      <c r="AF26" s="263">
        <f>Planilha2!N21</f>
        <v>374027.6091524875</v>
      </c>
      <c r="AG26" s="37"/>
      <c r="AH26" s="44">
        <f>AH27+AH28+AH29</f>
        <v>0</v>
      </c>
      <c r="AI26" s="265">
        <f>Planilha2!O21</f>
        <v>374027.6091524875</v>
      </c>
      <c r="AJ26" s="42"/>
      <c r="AK26" s="43">
        <f>AK27+AK28+AK29</f>
        <v>0</v>
      </c>
      <c r="AL26" s="267">
        <f>Planilha2!P21</f>
        <v>374027.6091524875</v>
      </c>
      <c r="AM26" s="24"/>
      <c r="AN26" s="43">
        <f>AK26+AH26+AE26+AB26+Y26+V26+S26+P26+M26+J26+G26+D26</f>
        <v>37794814</v>
      </c>
      <c r="AO26" s="267">
        <f>AL26+AI26+AF26+AC26+Z26+W26+T26+Q26+N26+K26+H26+E26</f>
        <v>4419376.342727916</v>
      </c>
      <c r="AP26" s="24">
        <f t="shared" si="10"/>
        <v>0</v>
      </c>
      <c r="AQ26" s="277">
        <f>AN26+AN31+AO26</f>
        <v>69020794.34272791</v>
      </c>
      <c r="AS26" s="281">
        <v>62102798</v>
      </c>
      <c r="AT26" s="279">
        <f>Planilha2!D21</f>
        <v>4419376.342727917</v>
      </c>
      <c r="AU26" s="267"/>
      <c r="AV26" s="267"/>
      <c r="AW26" s="277">
        <f>AV26+AU26+AT26+AS26</f>
        <v>66522174.342727914</v>
      </c>
    </row>
    <row r="27" spans="1:49" ht="24" customHeight="1">
      <c r="A27" s="262"/>
      <c r="B27" s="262"/>
      <c r="C27" s="31" t="s">
        <v>51</v>
      </c>
      <c r="D27" s="14">
        <v>1046819</v>
      </c>
      <c r="E27" s="264"/>
      <c r="F27" s="17"/>
      <c r="G27" s="14">
        <v>1046819</v>
      </c>
      <c r="H27" s="266"/>
      <c r="I27" s="46"/>
      <c r="J27" s="14">
        <v>1046819</v>
      </c>
      <c r="K27" s="268"/>
      <c r="L27" s="14"/>
      <c r="M27" s="14">
        <v>1046819</v>
      </c>
      <c r="N27" s="264"/>
      <c r="O27" s="17"/>
      <c r="P27" s="14">
        <v>1046819</v>
      </c>
      <c r="Q27" s="266"/>
      <c r="R27" s="46"/>
      <c r="S27" s="14">
        <v>1046819</v>
      </c>
      <c r="T27" s="268"/>
      <c r="U27" s="14"/>
      <c r="V27" s="14"/>
      <c r="W27" s="264"/>
      <c r="X27" s="17"/>
      <c r="Y27" s="46"/>
      <c r="Z27" s="266"/>
      <c r="AA27" s="46"/>
      <c r="AB27" s="14"/>
      <c r="AC27" s="268"/>
      <c r="AD27" s="14"/>
      <c r="AE27" s="14"/>
      <c r="AF27" s="264"/>
      <c r="AG27" s="17"/>
      <c r="AH27" s="46"/>
      <c r="AI27" s="266"/>
      <c r="AJ27" s="46"/>
      <c r="AK27" s="14"/>
      <c r="AL27" s="268"/>
      <c r="AM27" s="14"/>
      <c r="AN27" s="14">
        <f t="shared" si="11"/>
        <v>6280914</v>
      </c>
      <c r="AO27" s="268">
        <f>Plan2!AL27+Plan2!AI27+Plan2!AF27+Plan2!AC27+Plan2!Z27+Plan2!W27+Plan2!T27+Plan2!Q27+Plan2!N27+Plan2!K27+Plan2!H27+Plan2!E27</f>
        <v>0</v>
      </c>
      <c r="AP27" s="14">
        <f t="shared" si="10"/>
        <v>0</v>
      </c>
      <c r="AQ27" s="278"/>
      <c r="AS27" s="282"/>
      <c r="AT27" s="280"/>
      <c r="AU27" s="268"/>
      <c r="AV27" s="268"/>
      <c r="AW27" s="278"/>
    </row>
    <row r="28" spans="1:49" ht="24" customHeight="1">
      <c r="A28" s="262"/>
      <c r="B28" s="262"/>
      <c r="C28" s="31" t="s">
        <v>52</v>
      </c>
      <c r="D28" s="14">
        <v>5114800</v>
      </c>
      <c r="E28" s="264"/>
      <c r="F28" s="17"/>
      <c r="G28" s="14">
        <v>5114800</v>
      </c>
      <c r="H28" s="266"/>
      <c r="I28" s="46"/>
      <c r="J28" s="14">
        <v>5114800</v>
      </c>
      <c r="K28" s="268"/>
      <c r="L28" s="14"/>
      <c r="M28" s="14">
        <v>5114800</v>
      </c>
      <c r="N28" s="264"/>
      <c r="O28" s="17"/>
      <c r="P28" s="14">
        <v>5114800</v>
      </c>
      <c r="Q28" s="266"/>
      <c r="R28" s="46"/>
      <c r="S28" s="14">
        <v>5114800</v>
      </c>
      <c r="T28" s="268"/>
      <c r="U28" s="14"/>
      <c r="V28" s="14"/>
      <c r="W28" s="264"/>
      <c r="X28" s="17"/>
      <c r="Y28" s="46"/>
      <c r="Z28" s="266"/>
      <c r="AA28" s="46"/>
      <c r="AB28" s="14"/>
      <c r="AC28" s="268"/>
      <c r="AD28" s="14"/>
      <c r="AE28" s="14"/>
      <c r="AF28" s="264"/>
      <c r="AG28" s="17"/>
      <c r="AH28" s="46"/>
      <c r="AI28" s="266"/>
      <c r="AJ28" s="46"/>
      <c r="AK28" s="14"/>
      <c r="AL28" s="268"/>
      <c r="AM28" s="14"/>
      <c r="AN28" s="14">
        <f t="shared" si="11"/>
        <v>30688800</v>
      </c>
      <c r="AO28" s="268">
        <f>Plan2!AL28+Plan2!AI28+Plan2!AF28+Plan2!AC28+Plan2!Z28+Plan2!W28+Plan2!T28+Plan2!Q28+Plan2!N28+Plan2!K28+Plan2!H28+Plan2!E28</f>
        <v>0</v>
      </c>
      <c r="AP28" s="14">
        <f t="shared" si="10"/>
        <v>0</v>
      </c>
      <c r="AQ28" s="278"/>
      <c r="AS28" s="282"/>
      <c r="AT28" s="280"/>
      <c r="AU28" s="268"/>
      <c r="AV28" s="268"/>
      <c r="AW28" s="278"/>
    </row>
    <row r="29" spans="1:54" ht="24" customHeight="1">
      <c r="A29" s="262"/>
      <c r="B29" s="262"/>
      <c r="C29" s="30" t="s">
        <v>59</v>
      </c>
      <c r="D29" s="14">
        <v>178600</v>
      </c>
      <c r="E29" s="264"/>
      <c r="F29" s="17"/>
      <c r="G29" s="46">
        <v>98100</v>
      </c>
      <c r="H29" s="266"/>
      <c r="I29" s="46"/>
      <c r="J29" s="14">
        <v>152100</v>
      </c>
      <c r="K29" s="268"/>
      <c r="L29" s="14"/>
      <c r="M29" s="14">
        <v>72100</v>
      </c>
      <c r="N29" s="264"/>
      <c r="O29" s="17"/>
      <c r="P29" s="46">
        <v>152100</v>
      </c>
      <c r="Q29" s="266"/>
      <c r="R29" s="46"/>
      <c r="S29" s="14">
        <v>72100</v>
      </c>
      <c r="T29" s="268"/>
      <c r="U29" s="14"/>
      <c r="V29" s="14"/>
      <c r="W29" s="264"/>
      <c r="X29" s="17"/>
      <c r="Y29" s="46"/>
      <c r="Z29" s="266"/>
      <c r="AA29" s="46"/>
      <c r="AB29" s="14"/>
      <c r="AC29" s="268"/>
      <c r="AD29" s="14"/>
      <c r="AE29" s="14"/>
      <c r="AF29" s="264"/>
      <c r="AG29" s="17"/>
      <c r="AH29" s="46"/>
      <c r="AI29" s="266"/>
      <c r="AJ29" s="46"/>
      <c r="AK29" s="14"/>
      <c r="AL29" s="268"/>
      <c r="AM29" s="14"/>
      <c r="AN29" s="14">
        <f t="shared" si="11"/>
        <v>725100</v>
      </c>
      <c r="AO29" s="268">
        <f>Plan2!AL29+Plan2!AI29+Plan2!AF29+Plan2!AC29+Plan2!Z29+Plan2!W29+Plan2!T29+Plan2!Q29+Plan2!N29+Plan2!K29+Plan2!H29+Plan2!E29</f>
        <v>0</v>
      </c>
      <c r="AP29" s="14">
        <f t="shared" si="10"/>
        <v>0</v>
      </c>
      <c r="AQ29" s="278"/>
      <c r="AS29" s="282"/>
      <c r="AT29" s="280"/>
      <c r="AU29" s="268"/>
      <c r="AV29" s="268"/>
      <c r="AW29" s="278"/>
      <c r="AZ29" s="76">
        <v>4947001.2871</v>
      </c>
      <c r="BA29" s="76">
        <v>18539760.3</v>
      </c>
      <c r="BB29" s="76">
        <v>679500</v>
      </c>
    </row>
    <row r="30" spans="1:54" ht="24" customHeight="1">
      <c r="A30" s="262"/>
      <c r="B30" s="262"/>
      <c r="C30" s="30" t="s">
        <v>60</v>
      </c>
      <c r="D30" s="14">
        <v>30000</v>
      </c>
      <c r="E30" s="264"/>
      <c r="F30" s="17"/>
      <c r="G30" s="46">
        <v>35000</v>
      </c>
      <c r="H30" s="266"/>
      <c r="I30" s="46"/>
      <c r="J30" s="14">
        <v>35000</v>
      </c>
      <c r="K30" s="268"/>
      <c r="L30" s="14"/>
      <c r="M30" s="14"/>
      <c r="N30" s="264"/>
      <c r="O30" s="17"/>
      <c r="P30" s="46"/>
      <c r="Q30" s="266"/>
      <c r="R30" s="46"/>
      <c r="S30" s="14"/>
      <c r="T30" s="268"/>
      <c r="U30" s="14"/>
      <c r="V30" s="14"/>
      <c r="W30" s="264"/>
      <c r="X30" s="17"/>
      <c r="Y30" s="46"/>
      <c r="Z30" s="266"/>
      <c r="AA30" s="46"/>
      <c r="AB30" s="14"/>
      <c r="AC30" s="268"/>
      <c r="AD30" s="14"/>
      <c r="AE30" s="14"/>
      <c r="AF30" s="264"/>
      <c r="AG30" s="17"/>
      <c r="AH30" s="46"/>
      <c r="AI30" s="266"/>
      <c r="AJ30" s="46"/>
      <c r="AK30" s="14"/>
      <c r="AL30" s="268"/>
      <c r="AM30" s="14"/>
      <c r="AN30" s="14">
        <f t="shared" si="11"/>
        <v>100000</v>
      </c>
      <c r="AO30" s="268"/>
      <c r="AP30" s="14"/>
      <c r="AQ30" s="278"/>
      <c r="AS30" s="282"/>
      <c r="AT30" s="280"/>
      <c r="AU30" s="268"/>
      <c r="AV30" s="268"/>
      <c r="AW30" s="278"/>
      <c r="AZ30" s="76"/>
      <c r="BA30" s="76"/>
      <c r="BB30" s="76"/>
    </row>
    <row r="31" spans="1:49" ht="24" customHeight="1">
      <c r="A31" s="262"/>
      <c r="B31" s="262"/>
      <c r="C31" s="31" t="s">
        <v>53</v>
      </c>
      <c r="D31" s="109">
        <f>D32+D33+D35</f>
        <v>0</v>
      </c>
      <c r="E31" s="264"/>
      <c r="F31" s="17"/>
      <c r="G31" s="109">
        <f>G32+G33+G35</f>
        <v>0</v>
      </c>
      <c r="H31" s="266"/>
      <c r="I31" s="46"/>
      <c r="J31" s="109">
        <f>J32+J33+J35</f>
        <v>0</v>
      </c>
      <c r="K31" s="268"/>
      <c r="L31" s="14"/>
      <c r="M31" s="109">
        <f>M32+M33+M35</f>
        <v>0</v>
      </c>
      <c r="N31" s="264"/>
      <c r="O31" s="17"/>
      <c r="P31" s="109">
        <f>P32+P33+P35</f>
        <v>0</v>
      </c>
      <c r="Q31" s="266"/>
      <c r="R31" s="46"/>
      <c r="S31" s="109">
        <f>S32+S33+S35</f>
        <v>0</v>
      </c>
      <c r="T31" s="268"/>
      <c r="U31" s="14"/>
      <c r="V31" s="109">
        <f>V32+V33+V35</f>
        <v>4508184</v>
      </c>
      <c r="W31" s="264"/>
      <c r="X31" s="17"/>
      <c r="Y31" s="109">
        <f>Y32+Y33+Y35</f>
        <v>4427684</v>
      </c>
      <c r="Z31" s="266"/>
      <c r="AA31" s="46"/>
      <c r="AB31" s="109">
        <f>AB32+AB33+AB35</f>
        <v>4507684</v>
      </c>
      <c r="AC31" s="268"/>
      <c r="AD31" s="14"/>
      <c r="AE31" s="109">
        <f>AE32+AE33+AE35</f>
        <v>4427684</v>
      </c>
      <c r="AF31" s="264"/>
      <c r="AG31" s="17"/>
      <c r="AH31" s="109">
        <f>AH32+AH33+AH35</f>
        <v>4507684</v>
      </c>
      <c r="AI31" s="266"/>
      <c r="AJ31" s="46"/>
      <c r="AK31" s="68">
        <f>AK32+AK33+AK35</f>
        <v>4427684</v>
      </c>
      <c r="AL31" s="268"/>
      <c r="AM31" s="14"/>
      <c r="AN31" s="68">
        <f>AN32+AN33+AN35</f>
        <v>26806604</v>
      </c>
      <c r="AO31" s="268">
        <f>Plan2!AL31+Plan2!AI31+Plan2!AF31+Plan2!AC31+Plan2!Z31+Plan2!W31+Plan2!T31+Plan2!Q31+Plan2!N31+Plan2!K31+Plan2!H31+Plan2!E31</f>
        <v>0</v>
      </c>
      <c r="AP31" s="14">
        <f t="shared" si="10"/>
        <v>0</v>
      </c>
      <c r="AQ31" s="278"/>
      <c r="AS31" s="282"/>
      <c r="AT31" s="280"/>
      <c r="AU31" s="268"/>
      <c r="AV31" s="268"/>
      <c r="AW31" s="278"/>
    </row>
    <row r="32" spans="1:49" ht="24" customHeight="1">
      <c r="A32" s="262"/>
      <c r="B32" s="262"/>
      <c r="C32" s="31" t="s">
        <v>54</v>
      </c>
      <c r="D32" s="14">
        <v>0</v>
      </c>
      <c r="E32" s="264"/>
      <c r="F32" s="17"/>
      <c r="G32" s="46"/>
      <c r="H32" s="266"/>
      <c r="I32" s="46"/>
      <c r="J32" s="14"/>
      <c r="K32" s="268"/>
      <c r="L32" s="14"/>
      <c r="M32" s="14"/>
      <c r="N32" s="264"/>
      <c r="O32" s="17"/>
      <c r="P32" s="46"/>
      <c r="Q32" s="266"/>
      <c r="R32" s="46"/>
      <c r="S32" s="14"/>
      <c r="T32" s="268"/>
      <c r="U32" s="14"/>
      <c r="V32" s="14">
        <v>662784</v>
      </c>
      <c r="W32" s="264"/>
      <c r="X32" s="17"/>
      <c r="Y32" s="14">
        <v>662784</v>
      </c>
      <c r="Z32" s="266"/>
      <c r="AA32" s="46"/>
      <c r="AB32" s="14">
        <v>662784</v>
      </c>
      <c r="AC32" s="268"/>
      <c r="AD32" s="14"/>
      <c r="AE32" s="14">
        <v>662784</v>
      </c>
      <c r="AF32" s="264"/>
      <c r="AG32" s="17"/>
      <c r="AH32" s="14">
        <v>662784</v>
      </c>
      <c r="AI32" s="266"/>
      <c r="AJ32" s="46"/>
      <c r="AK32" s="14">
        <v>662784</v>
      </c>
      <c r="AL32" s="268"/>
      <c r="AM32" s="14"/>
      <c r="AN32" s="25">
        <f t="shared" si="11"/>
        <v>3976704</v>
      </c>
      <c r="AO32" s="268">
        <f>Plan2!AL32+Plan2!AI32+Plan2!AF32+Plan2!AC32+Plan2!Z32+Plan2!W32+Plan2!T32+Plan2!Q32+Plan2!N32+Plan2!K32+Plan2!H32+Plan2!E32</f>
        <v>0</v>
      </c>
      <c r="AP32" s="14">
        <f t="shared" si="10"/>
        <v>0</v>
      </c>
      <c r="AQ32" s="278"/>
      <c r="AS32" s="282"/>
      <c r="AT32" s="280"/>
      <c r="AU32" s="268"/>
      <c r="AV32" s="268"/>
      <c r="AW32" s="278"/>
    </row>
    <row r="33" spans="1:49" ht="24" customHeight="1">
      <c r="A33" s="262"/>
      <c r="B33" s="262"/>
      <c r="C33" s="38" t="s">
        <v>55</v>
      </c>
      <c r="D33" s="25">
        <v>0</v>
      </c>
      <c r="E33" s="264"/>
      <c r="F33" s="36"/>
      <c r="G33" s="49"/>
      <c r="H33" s="266"/>
      <c r="I33" s="49"/>
      <c r="J33" s="25"/>
      <c r="K33" s="268"/>
      <c r="L33" s="25"/>
      <c r="M33" s="25"/>
      <c r="N33" s="264"/>
      <c r="O33" s="36"/>
      <c r="P33" s="49"/>
      <c r="Q33" s="266"/>
      <c r="R33" s="49"/>
      <c r="S33" s="25"/>
      <c r="T33" s="268"/>
      <c r="U33" s="25"/>
      <c r="V33" s="25">
        <v>3692800</v>
      </c>
      <c r="W33" s="264"/>
      <c r="X33" s="36"/>
      <c r="Y33" s="25">
        <v>3692800</v>
      </c>
      <c r="Z33" s="266"/>
      <c r="AA33" s="49"/>
      <c r="AB33" s="25">
        <v>3692800</v>
      </c>
      <c r="AC33" s="268"/>
      <c r="AD33" s="25"/>
      <c r="AE33" s="25">
        <v>3692800</v>
      </c>
      <c r="AF33" s="264"/>
      <c r="AG33" s="36"/>
      <c r="AH33" s="25">
        <v>3692800</v>
      </c>
      <c r="AI33" s="266"/>
      <c r="AJ33" s="49"/>
      <c r="AK33" s="25">
        <v>3692800</v>
      </c>
      <c r="AL33" s="268"/>
      <c r="AM33" s="25"/>
      <c r="AN33" s="25">
        <f t="shared" si="11"/>
        <v>22156800</v>
      </c>
      <c r="AO33" s="268">
        <f>Plan2!AL33+Plan2!AI33+Plan2!AF33+Plan2!AC33+Plan2!Z33+Plan2!W33+Plan2!T33+Plan2!Q33+Plan2!N33+Plan2!K33+Plan2!H33+Plan2!E33</f>
        <v>0</v>
      </c>
      <c r="AP33" s="14">
        <f t="shared" si="10"/>
        <v>0</v>
      </c>
      <c r="AQ33" s="278"/>
      <c r="AS33" s="282"/>
      <c r="AT33" s="280"/>
      <c r="AU33" s="268"/>
      <c r="AV33" s="268"/>
      <c r="AW33" s="278"/>
    </row>
    <row r="34" spans="1:49" ht="24" customHeight="1">
      <c r="A34" s="262"/>
      <c r="B34" s="262"/>
      <c r="C34" s="30" t="s">
        <v>60</v>
      </c>
      <c r="D34" s="25"/>
      <c r="E34" s="264"/>
      <c r="F34" s="36"/>
      <c r="G34" s="49"/>
      <c r="H34" s="266"/>
      <c r="I34" s="49"/>
      <c r="J34" s="25"/>
      <c r="K34" s="268"/>
      <c r="L34" s="25"/>
      <c r="M34" s="25"/>
      <c r="N34" s="264"/>
      <c r="O34" s="36"/>
      <c r="P34" s="49"/>
      <c r="Q34" s="266"/>
      <c r="R34" s="49"/>
      <c r="S34" s="25"/>
      <c r="T34" s="268"/>
      <c r="U34" s="25"/>
      <c r="V34" s="25"/>
      <c r="W34" s="264"/>
      <c r="X34" s="36"/>
      <c r="Y34" s="25"/>
      <c r="Z34" s="266"/>
      <c r="AA34" s="49"/>
      <c r="AB34" s="25"/>
      <c r="AC34" s="268"/>
      <c r="AD34" s="25"/>
      <c r="AE34" s="25"/>
      <c r="AF34" s="264"/>
      <c r="AG34" s="36"/>
      <c r="AH34" s="25"/>
      <c r="AI34" s="266"/>
      <c r="AJ34" s="49"/>
      <c r="AK34" s="25"/>
      <c r="AL34" s="268"/>
      <c r="AM34" s="25"/>
      <c r="AN34" s="25"/>
      <c r="AO34" s="268"/>
      <c r="AP34" s="14"/>
      <c r="AQ34" s="278"/>
      <c r="AS34" s="282"/>
      <c r="AT34" s="280"/>
      <c r="AU34" s="268"/>
      <c r="AV34" s="268"/>
      <c r="AW34" s="278"/>
    </row>
    <row r="35" spans="1:49" ht="24" customHeight="1" thickBot="1">
      <c r="A35" s="262"/>
      <c r="B35" s="262"/>
      <c r="C35" s="30" t="s">
        <v>59</v>
      </c>
      <c r="D35" s="14">
        <v>0</v>
      </c>
      <c r="E35" s="264"/>
      <c r="F35" s="17"/>
      <c r="G35" s="46"/>
      <c r="H35" s="266"/>
      <c r="I35" s="46"/>
      <c r="J35" s="14"/>
      <c r="K35" s="268"/>
      <c r="L35" s="14"/>
      <c r="M35" s="14"/>
      <c r="N35" s="264"/>
      <c r="O35" s="17"/>
      <c r="P35" s="46"/>
      <c r="Q35" s="266"/>
      <c r="R35" s="46"/>
      <c r="S35" s="14"/>
      <c r="T35" s="268"/>
      <c r="U35" s="14"/>
      <c r="V35" s="14">
        <v>152600</v>
      </c>
      <c r="W35" s="264"/>
      <c r="X35" s="17"/>
      <c r="Y35" s="46">
        <v>72100</v>
      </c>
      <c r="Z35" s="266"/>
      <c r="AA35" s="46"/>
      <c r="AB35" s="14">
        <v>152100</v>
      </c>
      <c r="AC35" s="268"/>
      <c r="AD35" s="14"/>
      <c r="AE35" s="14">
        <v>72100</v>
      </c>
      <c r="AF35" s="264"/>
      <c r="AG35" s="17"/>
      <c r="AH35" s="46">
        <v>152100</v>
      </c>
      <c r="AI35" s="266"/>
      <c r="AJ35" s="46"/>
      <c r="AK35" s="14">
        <v>72100</v>
      </c>
      <c r="AL35" s="268"/>
      <c r="AM35" s="14"/>
      <c r="AN35" s="25">
        <f t="shared" si="11"/>
        <v>673100</v>
      </c>
      <c r="AO35" s="268">
        <f>Plan2!AL35+Plan2!AI35+Plan2!AF35+Plan2!AC35+Plan2!Z35+Plan2!W35+Plan2!T35+Plan2!Q35+Plan2!N35+Plan2!K35+Plan2!H35+Plan2!E35</f>
        <v>0</v>
      </c>
      <c r="AP35" s="14">
        <f t="shared" si="10"/>
        <v>0</v>
      </c>
      <c r="AQ35" s="278"/>
      <c r="AS35" s="282"/>
      <c r="AT35" s="280"/>
      <c r="AU35" s="268"/>
      <c r="AV35" s="268"/>
      <c r="AW35" s="278"/>
    </row>
    <row r="36" spans="1:49" ht="33" customHeight="1" thickBot="1" thickTop="1">
      <c r="A36" s="59"/>
      <c r="B36" s="59" t="s">
        <v>43</v>
      </c>
      <c r="C36" s="39" t="s">
        <v>42</v>
      </c>
      <c r="D36" s="40">
        <f>(Planilha1!F28+30000)-F36</f>
        <v>390116.9537166668</v>
      </c>
      <c r="E36" s="40">
        <v>1531268.04</v>
      </c>
      <c r="F36" s="27">
        <f>520000+87000</f>
        <v>607000</v>
      </c>
      <c r="G36" s="40">
        <f>(Planilha1!G28+30000)-I36</f>
        <v>512590.5557166666</v>
      </c>
      <c r="H36" s="45">
        <v>1548979.05</v>
      </c>
      <c r="I36" s="40">
        <v>12000</v>
      </c>
      <c r="J36" s="40">
        <f>Planilha1!H28-L36</f>
        <v>393081.5557166667</v>
      </c>
      <c r="K36" s="27">
        <v>1532488.5</v>
      </c>
      <c r="L36" s="27">
        <f>7500+53000</f>
        <v>60500</v>
      </c>
      <c r="M36" s="40">
        <f>Planilha1!I28</f>
        <v>393417.13571666664</v>
      </c>
      <c r="N36" s="40">
        <v>1529979.05</v>
      </c>
      <c r="O36" s="27"/>
      <c r="P36" s="40">
        <f>Planilha1!J28</f>
        <v>395350.0402166667</v>
      </c>
      <c r="Q36" s="45">
        <v>1529979.05</v>
      </c>
      <c r="R36" s="45"/>
      <c r="S36" s="40">
        <f>Planilha1!K28</f>
        <v>382633.29621666664</v>
      </c>
      <c r="T36" s="27">
        <v>1549957.88</v>
      </c>
      <c r="U36" s="27"/>
      <c r="V36" s="40">
        <f>Planilha1!L28</f>
        <v>393637.79705</v>
      </c>
      <c r="W36" s="40">
        <v>1532912.08</v>
      </c>
      <c r="X36" s="27"/>
      <c r="Y36" s="40">
        <f>Planilha1!M28</f>
        <v>383025.39255000005</v>
      </c>
      <c r="Z36" s="45">
        <v>1530054.49</v>
      </c>
      <c r="AA36" s="45"/>
      <c r="AB36" s="40">
        <f>Planilha1!N28</f>
        <v>476895.39255000005</v>
      </c>
      <c r="AC36" s="27">
        <v>1563153.42</v>
      </c>
      <c r="AD36" s="27"/>
      <c r="AE36" s="40">
        <f>Planilha1!O28</f>
        <v>474295.39255000005</v>
      </c>
      <c r="AF36" s="40">
        <v>1563535.54</v>
      </c>
      <c r="AG36" s="27"/>
      <c r="AH36" s="40">
        <f>Planilha1!P28</f>
        <v>472995.39255000005</v>
      </c>
      <c r="AI36" s="45">
        <v>1563535.54</v>
      </c>
      <c r="AJ36" s="45">
        <v>0</v>
      </c>
      <c r="AK36" s="40">
        <f>Planilha1!Q28</f>
        <v>338962.38255000004</v>
      </c>
      <c r="AL36" s="27">
        <v>1563535.54</v>
      </c>
      <c r="AM36" s="27">
        <v>0</v>
      </c>
      <c r="AN36" s="27">
        <f>AK36+AH36+AE36+AB36+Y36+V36+S36+P36+M36+J36+G36+D36</f>
        <v>5007001.2871</v>
      </c>
      <c r="AO36" s="27">
        <f>AL36+AI36+AF36+AC36+Z36+W36+T36+Q36+N36+K36+H36+E36</f>
        <v>18539378.18</v>
      </c>
      <c r="AP36" s="27">
        <f t="shared" si="10"/>
        <v>679500</v>
      </c>
      <c r="AQ36" s="74">
        <f>AP36+AO36+AN36</f>
        <v>24225879.467100002</v>
      </c>
      <c r="AS36" s="27">
        <f>Planilha1!D28-AP36</f>
        <v>4947001.2871</v>
      </c>
      <c r="AT36" s="27">
        <f>Planilha2!D22</f>
        <v>18539378.18676946</v>
      </c>
      <c r="AU36" s="27"/>
      <c r="AV36" s="27"/>
      <c r="AW36" s="74">
        <f>AV36+AU36+AT36+AS36</f>
        <v>23486379.473869458</v>
      </c>
    </row>
    <row r="37" spans="1:49" ht="30" customHeight="1" thickBot="1" thickTop="1">
      <c r="A37" s="283" t="s">
        <v>31</v>
      </c>
      <c r="B37" s="284"/>
      <c r="C37" s="285"/>
      <c r="D37" s="64">
        <f aca="true" t="shared" si="12" ref="D37:AP37">D36+D31+D26+D20+D17+D15+D19+D14+D13+D12+D11+D10+D9+D8</f>
        <v>9999895.81692121</v>
      </c>
      <c r="E37" s="64">
        <f t="shared" si="12"/>
        <v>3459165.7869989704</v>
      </c>
      <c r="F37" s="64">
        <f t="shared" si="12"/>
        <v>607000</v>
      </c>
      <c r="G37" s="64">
        <f t="shared" si="12"/>
        <v>12901852.229633331</v>
      </c>
      <c r="H37" s="64">
        <f t="shared" si="12"/>
        <v>3500753.2072989703</v>
      </c>
      <c r="I37" s="64">
        <f t="shared" si="12"/>
        <v>12000</v>
      </c>
      <c r="J37" s="64">
        <f t="shared" si="12"/>
        <v>12374121.799633332</v>
      </c>
      <c r="K37" s="64">
        <f t="shared" si="12"/>
        <v>3460386.2469989704</v>
      </c>
      <c r="L37" s="64">
        <f t="shared" si="12"/>
        <v>60500</v>
      </c>
      <c r="M37" s="64">
        <f t="shared" si="12"/>
        <v>13699349.616299998</v>
      </c>
      <c r="N37" s="64">
        <f t="shared" si="12"/>
        <v>3457876.7969989707</v>
      </c>
      <c r="O37" s="64">
        <f t="shared" si="12"/>
        <v>0</v>
      </c>
      <c r="P37" s="64">
        <f t="shared" si="12"/>
        <v>9855611.30309167</v>
      </c>
      <c r="Q37" s="64">
        <f t="shared" si="12"/>
        <v>3457876.7969989707</v>
      </c>
      <c r="R37" s="64">
        <f t="shared" si="12"/>
        <v>0</v>
      </c>
      <c r="S37" s="64">
        <f t="shared" si="12"/>
        <v>9959723.106591668</v>
      </c>
      <c r="T37" s="64">
        <f t="shared" si="12"/>
        <v>3528534.0652589393</v>
      </c>
      <c r="U37" s="64">
        <f t="shared" si="12"/>
        <v>0</v>
      </c>
      <c r="V37" s="64">
        <f t="shared" si="12"/>
        <v>8425394.977425002</v>
      </c>
      <c r="W37" s="64">
        <f t="shared" si="12"/>
        <v>3462348.2145183184</v>
      </c>
      <c r="X37" s="64">
        <f t="shared" si="12"/>
        <v>0</v>
      </c>
      <c r="Y37" s="64">
        <f t="shared" si="12"/>
        <v>7540831.417925001</v>
      </c>
      <c r="Z37" s="64">
        <f t="shared" si="12"/>
        <v>3459490.623458349</v>
      </c>
      <c r="AA37" s="64">
        <f t="shared" si="12"/>
        <v>0</v>
      </c>
      <c r="AB37" s="64">
        <f t="shared" si="12"/>
        <v>8337522.201258334</v>
      </c>
      <c r="AC37" s="64">
        <f t="shared" si="12"/>
        <v>3544007.5590188885</v>
      </c>
      <c r="AD37" s="64">
        <f t="shared" si="12"/>
        <v>0</v>
      </c>
      <c r="AE37" s="64">
        <f t="shared" si="12"/>
        <v>7980427.991258334</v>
      </c>
      <c r="AF37" s="64">
        <f t="shared" si="12"/>
        <v>3545731.1052668896</v>
      </c>
      <c r="AG37" s="64">
        <f t="shared" si="12"/>
        <v>150000</v>
      </c>
      <c r="AH37" s="64">
        <f t="shared" si="12"/>
        <v>8211015.811758332</v>
      </c>
      <c r="AI37" s="64">
        <f t="shared" si="12"/>
        <v>3545731.1052668896</v>
      </c>
      <c r="AJ37" s="64">
        <f t="shared" si="12"/>
        <v>150000</v>
      </c>
      <c r="AK37" s="64">
        <f t="shared" si="12"/>
        <v>7707172.5784249995</v>
      </c>
      <c r="AL37" s="64">
        <f t="shared" si="12"/>
        <v>3645731.1052668896</v>
      </c>
      <c r="AM37" s="64">
        <f t="shared" si="12"/>
        <v>150000</v>
      </c>
      <c r="AN37" s="64">
        <f>AK37+AH37+AE37+AB37+Y37+V37+S37+P37+M37+J37+G37+D37</f>
        <v>116992918.85022122</v>
      </c>
      <c r="AO37" s="64">
        <f>AL37+AI37+AF37+AC37+Z37+W37+T37+Q37+N37+K37+H37+E37</f>
        <v>42067632.61335002</v>
      </c>
      <c r="AP37" s="64">
        <f t="shared" si="12"/>
        <v>1129500</v>
      </c>
      <c r="AQ37" s="64">
        <f>AQ36+AQ26+AQ20+AQ17+AQ15+AQ19+AQ14+AQ13+AQ12+AQ11+AQ10+AQ9+AQ8+AQ18</f>
        <v>160190051.46357122</v>
      </c>
      <c r="AS37" s="64">
        <f>AS36+AS26+AS20+AS19+AS17+AS15+AS14+AS13+AS12+AS11+AS10+AS9+AS8</f>
        <v>114434298.82534692</v>
      </c>
      <c r="AT37" s="64">
        <f>AT36+AT26+AT20+AT19+AT17+AT15+AT14+AT12+AT13+AT11+AT10+AT9+AT8</f>
        <v>42067632.61799953</v>
      </c>
      <c r="AU37" s="64"/>
      <c r="AV37" s="64"/>
      <c r="AW37" s="64"/>
    </row>
    <row r="38" spans="1:50" s="12" customFormat="1" ht="32.25" customHeight="1" thickTop="1">
      <c r="A38" s="60"/>
      <c r="B38" s="60"/>
      <c r="D38" s="12" t="b">
        <f aca="true" t="shared" si="13" ref="D38:AM38">D37=D3</f>
        <v>0</v>
      </c>
      <c r="E38" s="12" t="b">
        <f t="shared" si="13"/>
        <v>1</v>
      </c>
      <c r="F38" s="12" t="b">
        <f t="shared" si="13"/>
        <v>1</v>
      </c>
      <c r="G38" s="12" t="b">
        <f t="shared" si="13"/>
        <v>0</v>
      </c>
      <c r="H38" s="12" t="b">
        <f t="shared" si="13"/>
        <v>1</v>
      </c>
      <c r="I38" s="12" t="b">
        <f t="shared" si="13"/>
        <v>1</v>
      </c>
      <c r="J38" s="12" t="b">
        <f t="shared" si="13"/>
        <v>0</v>
      </c>
      <c r="K38" s="12" t="b">
        <f t="shared" si="13"/>
        <v>1</v>
      </c>
      <c r="L38" s="12" t="b">
        <f t="shared" si="13"/>
        <v>1</v>
      </c>
      <c r="M38" s="12" t="b">
        <f t="shared" si="13"/>
        <v>0</v>
      </c>
      <c r="N38" s="12" t="b">
        <f t="shared" si="13"/>
        <v>1</v>
      </c>
      <c r="O38" s="12" t="b">
        <f t="shared" si="13"/>
        <v>1</v>
      </c>
      <c r="P38" s="12" t="b">
        <f t="shared" si="13"/>
        <v>0</v>
      </c>
      <c r="Q38" s="12" t="b">
        <f t="shared" si="13"/>
        <v>1</v>
      </c>
      <c r="R38" s="12" t="b">
        <f t="shared" si="13"/>
        <v>1</v>
      </c>
      <c r="S38" s="12" t="b">
        <f t="shared" si="13"/>
        <v>0</v>
      </c>
      <c r="T38" s="12" t="b">
        <f t="shared" si="13"/>
        <v>1</v>
      </c>
      <c r="U38" s="12" t="b">
        <f t="shared" si="13"/>
        <v>1</v>
      </c>
      <c r="V38" s="12" t="b">
        <f t="shared" si="13"/>
        <v>0</v>
      </c>
      <c r="W38" s="12" t="b">
        <f t="shared" si="13"/>
        <v>1</v>
      </c>
      <c r="X38" s="12" t="b">
        <f t="shared" si="13"/>
        <v>1</v>
      </c>
      <c r="Y38" s="12" t="b">
        <f t="shared" si="13"/>
        <v>0</v>
      </c>
      <c r="Z38" s="12" t="b">
        <f t="shared" si="13"/>
        <v>1</v>
      </c>
      <c r="AA38" s="12" t="b">
        <f t="shared" si="13"/>
        <v>1</v>
      </c>
      <c r="AB38" s="12" t="b">
        <f t="shared" si="13"/>
        <v>0</v>
      </c>
      <c r="AC38" s="12" t="b">
        <f t="shared" si="13"/>
        <v>0</v>
      </c>
      <c r="AD38" s="12" t="b">
        <f t="shared" si="13"/>
        <v>1</v>
      </c>
      <c r="AE38" s="12" t="b">
        <f t="shared" si="13"/>
        <v>0</v>
      </c>
      <c r="AF38" s="12" t="b">
        <f t="shared" si="13"/>
        <v>1</v>
      </c>
      <c r="AG38" s="12" t="b">
        <f t="shared" si="13"/>
        <v>1</v>
      </c>
      <c r="AH38" s="12" t="b">
        <f t="shared" si="13"/>
        <v>0</v>
      </c>
      <c r="AI38" s="12" t="b">
        <f t="shared" si="13"/>
        <v>1</v>
      </c>
      <c r="AJ38" s="12" t="b">
        <f t="shared" si="13"/>
        <v>1</v>
      </c>
      <c r="AK38" s="12" t="b">
        <f t="shared" si="13"/>
        <v>0</v>
      </c>
      <c r="AL38" s="12" t="b">
        <f t="shared" si="13"/>
        <v>1</v>
      </c>
      <c r="AM38" s="12" t="b">
        <f t="shared" si="13"/>
        <v>1</v>
      </c>
      <c r="AN38" s="286" t="s">
        <v>31</v>
      </c>
      <c r="AO38" s="286"/>
      <c r="AP38" s="286"/>
      <c r="AQ38" s="75"/>
      <c r="AS38" s="76">
        <f>AP36+AN36</f>
        <v>5686501.2871</v>
      </c>
      <c r="AX38" s="12" t="s">
        <v>44</v>
      </c>
    </row>
    <row r="39" spans="1:50" s="12" customFormat="1" ht="32.25" customHeight="1">
      <c r="A39" s="60"/>
      <c r="B39" s="60"/>
      <c r="D39" s="108">
        <f>(D37+F37)-D3</f>
        <v>902321.9999999963</v>
      </c>
      <c r="E39" s="108">
        <f>E37-E3</f>
        <v>0</v>
      </c>
      <c r="F39" s="75">
        <f>D36+F36</f>
        <v>997116.9537166668</v>
      </c>
      <c r="AL39" s="12">
        <f>3360000+14400</f>
        <v>3374400</v>
      </c>
      <c r="AN39" s="287">
        <f>AN37+AO37+AP37</f>
        <v>160190051.46357125</v>
      </c>
      <c r="AO39" s="288"/>
      <c r="AP39" s="288"/>
      <c r="AS39" s="76"/>
      <c r="AX39" s="12" t="s">
        <v>45</v>
      </c>
    </row>
    <row r="40" spans="1:45" s="12" customFormat="1" ht="12.75">
      <c r="A40" s="60"/>
      <c r="B40" s="60"/>
      <c r="AN40" s="75">
        <f>163067563.76-AN37</f>
        <v>46074644.909778774</v>
      </c>
      <c r="AQ40" s="76">
        <f>23534378.88+55000</f>
        <v>23589378.88</v>
      </c>
      <c r="AS40" s="76"/>
    </row>
    <row r="41" spans="1:45" s="12" customFormat="1" ht="12.75">
      <c r="A41" s="60"/>
      <c r="B41" s="60"/>
      <c r="AO41" s="12">
        <v>9750000</v>
      </c>
      <c r="AS41" s="76"/>
    </row>
    <row r="42" spans="1:45" s="12" customFormat="1" ht="11.25">
      <c r="A42" s="60"/>
      <c r="B42" s="60"/>
      <c r="AO42" s="12">
        <f>AO41-8800000</f>
        <v>950000</v>
      </c>
      <c r="AS42" s="75"/>
    </row>
    <row r="43" spans="1:43" s="12" customFormat="1" ht="11.25">
      <c r="A43" s="60"/>
      <c r="B43" s="60"/>
      <c r="AN43" s="75"/>
      <c r="AO43" s="75"/>
      <c r="AP43" s="75"/>
      <c r="AQ43" s="75">
        <f>AQ37-205152344.5</f>
        <v>-44962293.03642878</v>
      </c>
    </row>
    <row r="44" spans="1:2" s="12" customFormat="1" ht="11.25">
      <c r="A44" s="60"/>
      <c r="B44" s="60"/>
    </row>
    <row r="45" spans="1:2" s="12" customFormat="1" ht="11.25">
      <c r="A45" s="60"/>
      <c r="B45" s="60"/>
    </row>
    <row r="46" spans="1:45" s="12" customFormat="1" ht="12.75">
      <c r="A46" s="60"/>
      <c r="B46" s="60"/>
      <c r="AN46" s="76">
        <v>163105099.51378033</v>
      </c>
      <c r="AO46" s="76">
        <v>41547244.980000004</v>
      </c>
      <c r="AS46" s="75"/>
    </row>
    <row r="47" spans="1:2" s="12" customFormat="1" ht="15" customHeight="1">
      <c r="A47" s="60"/>
      <c r="B47" s="60"/>
    </row>
    <row r="48" spans="1:40" s="12" customFormat="1" ht="11.25">
      <c r="A48" s="60"/>
      <c r="B48" s="60"/>
      <c r="AN48" s="75">
        <f>AN46-AN37</f>
        <v>46112180.66355911</v>
      </c>
    </row>
    <row r="49" spans="1:2" s="12" customFormat="1" ht="11.25">
      <c r="A49" s="60"/>
      <c r="B49" s="60"/>
    </row>
    <row r="50" spans="1:2" s="12" customFormat="1" ht="11.25">
      <c r="A50" s="60"/>
      <c r="B50" s="60"/>
    </row>
    <row r="51" spans="1:2" s="12" customFormat="1" ht="11.25">
      <c r="A51" s="60"/>
      <c r="B51" s="60"/>
    </row>
    <row r="52" spans="1:2" s="12" customFormat="1" ht="11.25">
      <c r="A52" s="60"/>
      <c r="B52" s="60"/>
    </row>
    <row r="53" spans="1:2" s="12" customFormat="1" ht="11.25">
      <c r="A53" s="60"/>
      <c r="B53" s="60"/>
    </row>
    <row r="54" spans="1:2" s="12" customFormat="1" ht="11.25">
      <c r="A54" s="60"/>
      <c r="B54" s="60"/>
    </row>
    <row r="55" spans="1:2" s="12" customFormat="1" ht="11.25">
      <c r="A55" s="60"/>
      <c r="B55" s="60"/>
    </row>
    <row r="56" spans="1:2" s="12" customFormat="1" ht="11.25">
      <c r="A56" s="60"/>
      <c r="B56" s="60"/>
    </row>
    <row r="57" spans="1:2" s="12" customFormat="1" ht="11.25">
      <c r="A57" s="60"/>
      <c r="B57" s="60"/>
    </row>
    <row r="58" spans="1:2" s="12" customFormat="1" ht="11.25">
      <c r="A58" s="60"/>
      <c r="B58" s="60"/>
    </row>
    <row r="59" spans="1:2" s="12" customFormat="1" ht="11.25">
      <c r="A59" s="60"/>
      <c r="B59" s="60"/>
    </row>
    <row r="60" spans="1:2" s="12" customFormat="1" ht="11.25">
      <c r="A60" s="60"/>
      <c r="B60" s="60"/>
    </row>
    <row r="61" spans="1:2" s="12" customFormat="1" ht="11.25">
      <c r="A61" s="60"/>
      <c r="B61" s="60"/>
    </row>
    <row r="62" spans="1:2" s="12" customFormat="1" ht="11.25">
      <c r="A62" s="60"/>
      <c r="B62" s="60"/>
    </row>
    <row r="63" spans="1:2" s="12" customFormat="1" ht="11.25">
      <c r="A63" s="60"/>
      <c r="B63" s="60"/>
    </row>
    <row r="64" spans="1:2" s="12" customFormat="1" ht="11.25">
      <c r="A64" s="60"/>
      <c r="B64" s="60"/>
    </row>
    <row r="65" spans="1:2" s="12" customFormat="1" ht="11.25">
      <c r="A65" s="60"/>
      <c r="B65" s="60"/>
    </row>
    <row r="66" spans="1:2" s="12" customFormat="1" ht="11.25">
      <c r="A66" s="60"/>
      <c r="B66" s="60"/>
    </row>
    <row r="67" spans="1:2" s="12" customFormat="1" ht="11.25">
      <c r="A67" s="60"/>
      <c r="B67" s="60"/>
    </row>
    <row r="68" spans="1:2" s="12" customFormat="1" ht="11.25">
      <c r="A68" s="60"/>
      <c r="B68" s="60"/>
    </row>
    <row r="69" spans="1:2" s="12" customFormat="1" ht="11.25">
      <c r="A69" s="60"/>
      <c r="B69" s="60"/>
    </row>
    <row r="70" spans="1:2" s="12" customFormat="1" ht="11.25">
      <c r="A70" s="60"/>
      <c r="B70" s="60"/>
    </row>
    <row r="71" spans="1:2" s="12" customFormat="1" ht="11.25">
      <c r="A71" s="60"/>
      <c r="B71" s="60"/>
    </row>
    <row r="72" spans="1:2" s="12" customFormat="1" ht="11.25">
      <c r="A72" s="60"/>
      <c r="B72" s="60"/>
    </row>
    <row r="73" spans="1:2" s="12" customFormat="1" ht="11.25">
      <c r="A73" s="60"/>
      <c r="B73" s="60"/>
    </row>
    <row r="74" spans="1:2" s="12" customFormat="1" ht="11.25">
      <c r="A74" s="60"/>
      <c r="B74" s="60"/>
    </row>
    <row r="75" spans="1:2" s="12" customFormat="1" ht="11.25">
      <c r="A75" s="60"/>
      <c r="B75" s="60"/>
    </row>
    <row r="76" spans="1:2" s="12" customFormat="1" ht="11.25">
      <c r="A76" s="60"/>
      <c r="B76" s="60"/>
    </row>
    <row r="77" spans="1:2" s="12" customFormat="1" ht="11.25">
      <c r="A77" s="60"/>
      <c r="B77" s="60"/>
    </row>
    <row r="78" spans="1:2" s="12" customFormat="1" ht="11.25">
      <c r="A78" s="60"/>
      <c r="B78" s="60"/>
    </row>
    <row r="79" spans="1:2" s="12" customFormat="1" ht="11.25">
      <c r="A79" s="60"/>
      <c r="B79" s="60"/>
    </row>
    <row r="80" spans="1:2" s="12" customFormat="1" ht="11.25">
      <c r="A80" s="60"/>
      <c r="B80" s="60"/>
    </row>
    <row r="81" spans="1:2" s="12" customFormat="1" ht="11.25">
      <c r="A81" s="60"/>
      <c r="B81" s="60"/>
    </row>
    <row r="82" spans="1:2" s="12" customFormat="1" ht="11.25">
      <c r="A82" s="60"/>
      <c r="B82" s="60"/>
    </row>
    <row r="83" spans="1:2" s="12" customFormat="1" ht="11.25">
      <c r="A83" s="60"/>
      <c r="B83" s="60"/>
    </row>
    <row r="84" spans="1:2" s="12" customFormat="1" ht="11.25">
      <c r="A84" s="60"/>
      <c r="B84" s="60"/>
    </row>
    <row r="85" spans="1:2" s="12" customFormat="1" ht="11.25">
      <c r="A85" s="60"/>
      <c r="B85" s="60"/>
    </row>
    <row r="86" spans="1:2" s="12" customFormat="1" ht="11.25">
      <c r="A86" s="60"/>
      <c r="B86" s="60"/>
    </row>
    <row r="87" spans="1:2" s="12" customFormat="1" ht="11.25">
      <c r="A87" s="60"/>
      <c r="B87" s="60"/>
    </row>
    <row r="88" spans="1:2" s="12" customFormat="1" ht="11.25">
      <c r="A88" s="60"/>
      <c r="B88" s="60"/>
    </row>
    <row r="89" spans="1:2" s="12" customFormat="1" ht="11.25">
      <c r="A89" s="60"/>
      <c r="B89" s="60"/>
    </row>
    <row r="90" spans="1:2" s="12" customFormat="1" ht="11.25">
      <c r="A90" s="60"/>
      <c r="B90" s="60"/>
    </row>
    <row r="91" spans="1:2" s="12" customFormat="1" ht="11.25">
      <c r="A91" s="60"/>
      <c r="B91" s="60"/>
    </row>
    <row r="92" spans="1:2" s="12" customFormat="1" ht="11.25">
      <c r="A92" s="60"/>
      <c r="B92" s="60"/>
    </row>
    <row r="93" spans="1:2" s="12" customFormat="1" ht="11.25">
      <c r="A93" s="60"/>
      <c r="B93" s="60"/>
    </row>
    <row r="94" spans="1:2" s="12" customFormat="1" ht="11.25">
      <c r="A94" s="60"/>
      <c r="B94" s="60"/>
    </row>
    <row r="95" spans="1:2" s="12" customFormat="1" ht="11.25">
      <c r="A95" s="60"/>
      <c r="B95" s="60"/>
    </row>
    <row r="96" spans="1:2" s="12" customFormat="1" ht="11.25">
      <c r="A96" s="60"/>
      <c r="B96" s="60"/>
    </row>
    <row r="97" spans="1:2" s="12" customFormat="1" ht="11.25">
      <c r="A97" s="60"/>
      <c r="B97" s="60"/>
    </row>
    <row r="98" spans="1:2" s="12" customFormat="1" ht="11.25">
      <c r="A98" s="60"/>
      <c r="B98" s="60"/>
    </row>
    <row r="99" spans="1:2" s="12" customFormat="1" ht="11.25">
      <c r="A99" s="60"/>
      <c r="B99" s="60"/>
    </row>
    <row r="100" spans="1:2" s="12" customFormat="1" ht="11.25">
      <c r="A100" s="60"/>
      <c r="B100" s="60"/>
    </row>
    <row r="101" spans="1:2" s="12" customFormat="1" ht="11.25">
      <c r="A101" s="60"/>
      <c r="B101" s="60"/>
    </row>
    <row r="102" spans="1:2" s="12" customFormat="1" ht="11.25">
      <c r="A102" s="60"/>
      <c r="B102" s="60"/>
    </row>
    <row r="103" spans="1:2" s="12" customFormat="1" ht="11.25">
      <c r="A103" s="60"/>
      <c r="B103" s="60"/>
    </row>
    <row r="104" spans="1:2" s="12" customFormat="1" ht="11.25">
      <c r="A104" s="60"/>
      <c r="B104" s="60"/>
    </row>
    <row r="105" spans="1:2" s="12" customFormat="1" ht="11.25">
      <c r="A105" s="60"/>
      <c r="B105" s="60"/>
    </row>
    <row r="106" spans="1:2" s="12" customFormat="1" ht="11.25">
      <c r="A106" s="60"/>
      <c r="B106" s="60"/>
    </row>
    <row r="107" spans="1:2" s="12" customFormat="1" ht="52.5" customHeight="1">
      <c r="A107" s="60"/>
      <c r="B107" s="60"/>
    </row>
    <row r="108" spans="1:2" s="12" customFormat="1" ht="33" customHeight="1">
      <c r="A108" s="60"/>
      <c r="B108" s="60"/>
    </row>
    <row r="109" spans="1:2" s="12" customFormat="1" ht="11.25">
      <c r="A109" s="60"/>
      <c r="B109" s="60"/>
    </row>
    <row r="110" spans="1:2" s="12" customFormat="1" ht="11.25">
      <c r="A110" s="60"/>
      <c r="B110" s="60"/>
    </row>
    <row r="111" spans="1:2" s="12" customFormat="1" ht="11.25">
      <c r="A111" s="60"/>
      <c r="B111" s="60"/>
    </row>
    <row r="112" spans="1:2" s="12" customFormat="1" ht="11.25">
      <c r="A112" s="60"/>
      <c r="B112" s="60"/>
    </row>
    <row r="113" spans="1:2" s="12" customFormat="1" ht="11.25">
      <c r="A113" s="60"/>
      <c r="B113" s="60"/>
    </row>
    <row r="114" spans="1:2" s="12" customFormat="1" ht="11.25">
      <c r="A114" s="60"/>
      <c r="B114" s="60"/>
    </row>
    <row r="115" spans="1:2" s="12" customFormat="1" ht="11.25">
      <c r="A115" s="60"/>
      <c r="B115" s="60"/>
    </row>
    <row r="116" spans="1:2" s="12" customFormat="1" ht="11.25">
      <c r="A116" s="60"/>
      <c r="B116" s="60"/>
    </row>
    <row r="117" spans="1:2" s="12" customFormat="1" ht="11.25">
      <c r="A117" s="60"/>
      <c r="B117" s="60"/>
    </row>
    <row r="118" spans="1:2" s="12" customFormat="1" ht="11.25">
      <c r="A118" s="60"/>
      <c r="B118" s="60"/>
    </row>
    <row r="119" spans="1:2" s="12" customFormat="1" ht="11.25">
      <c r="A119" s="60"/>
      <c r="B119" s="60"/>
    </row>
    <row r="120" spans="1:2" s="12" customFormat="1" ht="11.25">
      <c r="A120" s="60"/>
      <c r="B120" s="60"/>
    </row>
    <row r="121" spans="1:2" s="12" customFormat="1" ht="11.25">
      <c r="A121" s="60"/>
      <c r="B121" s="60"/>
    </row>
    <row r="122" spans="1:2" s="12" customFormat="1" ht="11.25">
      <c r="A122" s="60"/>
      <c r="B122" s="60"/>
    </row>
    <row r="123" spans="1:2" s="12" customFormat="1" ht="11.25">
      <c r="A123" s="60"/>
      <c r="B123" s="60"/>
    </row>
    <row r="124" spans="1:2" s="12" customFormat="1" ht="15" customHeight="1">
      <c r="A124" s="60"/>
      <c r="B124" s="60"/>
    </row>
    <row r="125" spans="1:2" s="12" customFormat="1" ht="15" customHeight="1">
      <c r="A125" s="60"/>
      <c r="B125" s="60"/>
    </row>
    <row r="126" spans="1:2" s="12" customFormat="1" ht="11.25">
      <c r="A126" s="60"/>
      <c r="B126" s="60"/>
    </row>
    <row r="127" spans="1:2" s="12" customFormat="1" ht="11.25">
      <c r="A127" s="60"/>
      <c r="B127" s="60"/>
    </row>
    <row r="128" spans="1:2" s="12" customFormat="1" ht="11.25">
      <c r="A128" s="60"/>
      <c r="B128" s="60"/>
    </row>
    <row r="129" spans="1:2" s="12" customFormat="1" ht="11.25">
      <c r="A129" s="60"/>
      <c r="B129" s="60"/>
    </row>
    <row r="130" spans="1:2" s="12" customFormat="1" ht="11.25">
      <c r="A130" s="60"/>
      <c r="B130" s="60"/>
    </row>
    <row r="131" spans="1:2" s="12" customFormat="1" ht="11.25">
      <c r="A131" s="60"/>
      <c r="B131" s="60"/>
    </row>
    <row r="132" spans="1:2" s="12" customFormat="1" ht="11.25">
      <c r="A132" s="60"/>
      <c r="B132" s="60"/>
    </row>
    <row r="133" spans="1:2" s="12" customFormat="1" ht="11.25">
      <c r="A133" s="60"/>
      <c r="B133" s="60"/>
    </row>
    <row r="134" spans="1:2" s="12" customFormat="1" ht="11.25">
      <c r="A134" s="60"/>
      <c r="B134" s="60"/>
    </row>
    <row r="135" spans="1:2" s="12" customFormat="1" ht="11.25">
      <c r="A135" s="60"/>
      <c r="B135" s="60"/>
    </row>
    <row r="136" spans="1:2" s="12" customFormat="1" ht="11.25">
      <c r="A136" s="60"/>
      <c r="B136" s="60"/>
    </row>
    <row r="137" spans="1:2" s="12" customFormat="1" ht="11.25">
      <c r="A137" s="60"/>
      <c r="B137" s="60"/>
    </row>
    <row r="138" spans="1:2" s="12" customFormat="1" ht="11.25">
      <c r="A138" s="60"/>
      <c r="B138" s="60"/>
    </row>
    <row r="139" spans="1:2" s="12" customFormat="1" ht="11.25">
      <c r="A139" s="60"/>
      <c r="B139" s="60"/>
    </row>
    <row r="140" spans="1:2" s="12" customFormat="1" ht="11.25">
      <c r="A140" s="60"/>
      <c r="B140" s="60"/>
    </row>
    <row r="141" spans="1:2" s="12" customFormat="1" ht="11.25">
      <c r="A141" s="60"/>
      <c r="B141" s="60"/>
    </row>
    <row r="142" spans="1:2" s="12" customFormat="1" ht="11.25">
      <c r="A142" s="60"/>
      <c r="B142" s="60"/>
    </row>
    <row r="143" spans="1:2" s="12" customFormat="1" ht="11.25">
      <c r="A143" s="60"/>
      <c r="B143" s="60"/>
    </row>
    <row r="144" spans="1:2" s="12" customFormat="1" ht="11.25">
      <c r="A144" s="60"/>
      <c r="B144" s="60"/>
    </row>
    <row r="145" spans="1:2" s="12" customFormat="1" ht="11.25">
      <c r="A145" s="60"/>
      <c r="B145" s="60"/>
    </row>
    <row r="146" spans="1:2" s="12" customFormat="1" ht="11.25">
      <c r="A146" s="60"/>
      <c r="B146" s="60"/>
    </row>
    <row r="147" spans="1:2" s="12" customFormat="1" ht="11.25">
      <c r="A147" s="60"/>
      <c r="B147" s="60"/>
    </row>
    <row r="148" spans="1:2" s="12" customFormat="1" ht="11.25">
      <c r="A148" s="60"/>
      <c r="B148" s="60"/>
    </row>
    <row r="149" spans="1:2" s="12" customFormat="1" ht="11.25">
      <c r="A149" s="60"/>
      <c r="B149" s="60"/>
    </row>
    <row r="150" spans="1:2" s="12" customFormat="1" ht="11.25">
      <c r="A150" s="60"/>
      <c r="B150" s="60"/>
    </row>
    <row r="151" spans="1:2" s="12" customFormat="1" ht="11.25">
      <c r="A151" s="60"/>
      <c r="B151" s="60"/>
    </row>
    <row r="152" spans="1:2" s="12" customFormat="1" ht="11.25">
      <c r="A152" s="60"/>
      <c r="B152" s="60"/>
    </row>
    <row r="153" spans="1:2" s="12" customFormat="1" ht="11.25">
      <c r="A153" s="60"/>
      <c r="B153" s="60"/>
    </row>
    <row r="154" spans="1:2" s="12" customFormat="1" ht="11.25">
      <c r="A154" s="60"/>
      <c r="B154" s="60"/>
    </row>
    <row r="155" spans="1:2" s="12" customFormat="1" ht="11.25">
      <c r="A155" s="60"/>
      <c r="B155" s="60"/>
    </row>
    <row r="156" spans="1:2" s="12" customFormat="1" ht="11.25">
      <c r="A156" s="60"/>
      <c r="B156" s="60"/>
    </row>
    <row r="157" spans="1:2" s="12" customFormat="1" ht="11.25">
      <c r="A157" s="60"/>
      <c r="B157" s="60"/>
    </row>
    <row r="158" spans="1:2" s="12" customFormat="1" ht="11.25">
      <c r="A158" s="60"/>
      <c r="B158" s="60"/>
    </row>
    <row r="159" spans="1:2" s="12" customFormat="1" ht="11.25">
      <c r="A159" s="60"/>
      <c r="B159" s="60"/>
    </row>
    <row r="160" spans="1:2" s="12" customFormat="1" ht="11.25">
      <c r="A160" s="60"/>
      <c r="B160" s="60"/>
    </row>
    <row r="161" spans="1:2" s="12" customFormat="1" ht="11.25">
      <c r="A161" s="60"/>
      <c r="B161" s="60"/>
    </row>
    <row r="162" spans="1:2" s="12" customFormat="1" ht="11.25">
      <c r="A162" s="60"/>
      <c r="B162" s="60"/>
    </row>
    <row r="163" spans="1:2" s="12" customFormat="1" ht="11.25">
      <c r="A163" s="60"/>
      <c r="B163" s="60"/>
    </row>
    <row r="164" spans="1:2" s="12" customFormat="1" ht="11.25">
      <c r="A164" s="60"/>
      <c r="B164" s="60"/>
    </row>
    <row r="165" spans="1:2" s="12" customFormat="1" ht="15.75" customHeight="1">
      <c r="A165" s="60"/>
      <c r="B165" s="60"/>
    </row>
    <row r="166" spans="1:2" s="12" customFormat="1" ht="11.25">
      <c r="A166" s="60"/>
      <c r="B166" s="60"/>
    </row>
    <row r="167" spans="1:2" s="12" customFormat="1" ht="11.25">
      <c r="A167" s="60"/>
      <c r="B167" s="60"/>
    </row>
    <row r="168" spans="1:2" s="12" customFormat="1" ht="11.25">
      <c r="A168" s="60"/>
      <c r="B168" s="60"/>
    </row>
    <row r="169" spans="1:2" s="12" customFormat="1" ht="11.25">
      <c r="A169" s="60"/>
      <c r="B169" s="60"/>
    </row>
    <row r="170" spans="1:2" s="12" customFormat="1" ht="11.25">
      <c r="A170" s="60"/>
      <c r="B170" s="60"/>
    </row>
    <row r="171" spans="1:2" s="12" customFormat="1" ht="11.25">
      <c r="A171" s="60"/>
      <c r="B171" s="60"/>
    </row>
    <row r="172" spans="1:2" s="12" customFormat="1" ht="11.25">
      <c r="A172" s="60"/>
      <c r="B172" s="60"/>
    </row>
    <row r="173" spans="1:2" s="12" customFormat="1" ht="11.25">
      <c r="A173" s="60"/>
      <c r="B173" s="60"/>
    </row>
    <row r="174" spans="1:2" s="12" customFormat="1" ht="11.25">
      <c r="A174" s="60"/>
      <c r="B174" s="60"/>
    </row>
    <row r="175" spans="1:2" s="12" customFormat="1" ht="11.25">
      <c r="A175" s="60"/>
      <c r="B175" s="60"/>
    </row>
    <row r="176" spans="1:2" s="12" customFormat="1" ht="11.25">
      <c r="A176" s="60"/>
      <c r="B176" s="60"/>
    </row>
    <row r="177" spans="1:2" s="12" customFormat="1" ht="11.25">
      <c r="A177" s="60"/>
      <c r="B177" s="60"/>
    </row>
    <row r="178" spans="1:2" s="12" customFormat="1" ht="11.25">
      <c r="A178" s="60"/>
      <c r="B178" s="60"/>
    </row>
    <row r="179" spans="1:2" s="12" customFormat="1" ht="11.25">
      <c r="A179" s="60"/>
      <c r="B179" s="60"/>
    </row>
    <row r="180" spans="1:2" s="12" customFormat="1" ht="11.25">
      <c r="A180" s="60"/>
      <c r="B180" s="60"/>
    </row>
    <row r="181" spans="1:2" s="12" customFormat="1" ht="11.25">
      <c r="A181" s="60"/>
      <c r="B181" s="60"/>
    </row>
    <row r="182" spans="1:2" s="12" customFormat="1" ht="11.25">
      <c r="A182" s="60"/>
      <c r="B182" s="60"/>
    </row>
    <row r="183" spans="1:2" s="12" customFormat="1" ht="11.25">
      <c r="A183" s="60"/>
      <c r="B183" s="60"/>
    </row>
    <row r="184" spans="1:2" s="12" customFormat="1" ht="11.25">
      <c r="A184" s="60"/>
      <c r="B184" s="60"/>
    </row>
    <row r="185" spans="1:2" s="12" customFormat="1" ht="11.25">
      <c r="A185" s="60"/>
      <c r="B185" s="60"/>
    </row>
    <row r="186" spans="1:2" s="12" customFormat="1" ht="11.25">
      <c r="A186" s="60"/>
      <c r="B186" s="60"/>
    </row>
    <row r="187" spans="1:2" s="12" customFormat="1" ht="11.25">
      <c r="A187" s="60"/>
      <c r="B187" s="60"/>
    </row>
    <row r="188" spans="1:2" s="12" customFormat="1" ht="11.25">
      <c r="A188" s="60"/>
      <c r="B188" s="60"/>
    </row>
    <row r="189" spans="1:2" s="12" customFormat="1" ht="11.25">
      <c r="A189" s="60"/>
      <c r="B189" s="60"/>
    </row>
    <row r="190" spans="1:2" s="12" customFormat="1" ht="11.25">
      <c r="A190" s="60"/>
      <c r="B190" s="60"/>
    </row>
    <row r="191" spans="1:2" s="12" customFormat="1" ht="11.25">
      <c r="A191" s="60"/>
      <c r="B191" s="60"/>
    </row>
    <row r="192" spans="1:2" s="12" customFormat="1" ht="11.25">
      <c r="A192" s="60"/>
      <c r="B192" s="60"/>
    </row>
    <row r="193" spans="1:2" s="12" customFormat="1" ht="11.25">
      <c r="A193" s="60"/>
      <c r="B193" s="60"/>
    </row>
    <row r="194" spans="1:2" s="12" customFormat="1" ht="11.25">
      <c r="A194" s="60"/>
      <c r="B194" s="60"/>
    </row>
    <row r="195" spans="1:2" s="12" customFormat="1" ht="11.25">
      <c r="A195" s="60"/>
      <c r="B195" s="60"/>
    </row>
    <row r="196" spans="1:2" s="12" customFormat="1" ht="11.25">
      <c r="A196" s="60"/>
      <c r="B196" s="60"/>
    </row>
    <row r="197" spans="1:2" s="12" customFormat="1" ht="11.25">
      <c r="A197" s="60"/>
      <c r="B197" s="60"/>
    </row>
    <row r="198" spans="1:2" s="12" customFormat="1" ht="11.25">
      <c r="A198" s="60"/>
      <c r="B198" s="60"/>
    </row>
    <row r="199" spans="1:2" s="12" customFormat="1" ht="11.25">
      <c r="A199" s="60"/>
      <c r="B199" s="60"/>
    </row>
    <row r="200" spans="1:2" s="12" customFormat="1" ht="11.25">
      <c r="A200" s="60"/>
      <c r="B200" s="60"/>
    </row>
    <row r="201" spans="1:2" s="12" customFormat="1" ht="11.25">
      <c r="A201" s="60"/>
      <c r="B201" s="60"/>
    </row>
    <row r="202" spans="1:2" s="12" customFormat="1" ht="11.25">
      <c r="A202" s="60"/>
      <c r="B202" s="60"/>
    </row>
    <row r="203" spans="1:2" s="12" customFormat="1" ht="11.25">
      <c r="A203" s="60"/>
      <c r="B203" s="60"/>
    </row>
    <row r="204" spans="1:2" s="12" customFormat="1" ht="11.25">
      <c r="A204" s="60"/>
      <c r="B204" s="60"/>
    </row>
    <row r="205" spans="1:2" s="12" customFormat="1" ht="11.25">
      <c r="A205" s="60"/>
      <c r="B205" s="60"/>
    </row>
    <row r="206" spans="1:2" s="12" customFormat="1" ht="11.25">
      <c r="A206" s="60"/>
      <c r="B206" s="60"/>
    </row>
    <row r="207" spans="1:2" s="12" customFormat="1" ht="11.25">
      <c r="A207" s="60"/>
      <c r="B207" s="60"/>
    </row>
    <row r="208" spans="1:2" s="12" customFormat="1" ht="11.25">
      <c r="A208" s="60"/>
      <c r="B208" s="60"/>
    </row>
    <row r="209" spans="1:2" s="12" customFormat="1" ht="11.25">
      <c r="A209" s="60"/>
      <c r="B209" s="60"/>
    </row>
    <row r="210" spans="1:2" s="12" customFormat="1" ht="11.25">
      <c r="A210" s="60"/>
      <c r="B210" s="60"/>
    </row>
    <row r="211" spans="1:2" s="12" customFormat="1" ht="11.25">
      <c r="A211" s="60"/>
      <c r="B211" s="60"/>
    </row>
    <row r="212" spans="1:2" s="12" customFormat="1" ht="11.25">
      <c r="A212" s="60"/>
      <c r="B212" s="60"/>
    </row>
    <row r="213" spans="1:2" s="12" customFormat="1" ht="11.25">
      <c r="A213" s="60"/>
      <c r="B213" s="60"/>
    </row>
    <row r="214" spans="1:2" s="12" customFormat="1" ht="11.25">
      <c r="A214" s="60"/>
      <c r="B214" s="60"/>
    </row>
    <row r="215" spans="1:2" s="12" customFormat="1" ht="11.25">
      <c r="A215" s="60"/>
      <c r="B215" s="60"/>
    </row>
    <row r="216" spans="1:2" s="12" customFormat="1" ht="11.25">
      <c r="A216" s="60"/>
      <c r="B216" s="60"/>
    </row>
    <row r="217" spans="1:2" s="12" customFormat="1" ht="11.25">
      <c r="A217" s="60"/>
      <c r="B217" s="60"/>
    </row>
    <row r="218" spans="1:2" s="12" customFormat="1" ht="11.25">
      <c r="A218" s="60"/>
      <c r="B218" s="60"/>
    </row>
    <row r="219" spans="1:2" s="12" customFormat="1" ht="11.25">
      <c r="A219" s="60"/>
      <c r="B219" s="60"/>
    </row>
    <row r="220" spans="1:2" s="12" customFormat="1" ht="11.25">
      <c r="A220" s="60"/>
      <c r="B220" s="60"/>
    </row>
    <row r="221" spans="1:2" s="12" customFormat="1" ht="11.25">
      <c r="A221" s="60"/>
      <c r="B221" s="60"/>
    </row>
    <row r="222" spans="1:2" s="12" customFormat="1" ht="11.25">
      <c r="A222" s="60"/>
      <c r="B222" s="60"/>
    </row>
    <row r="223" spans="1:2" s="12" customFormat="1" ht="11.25">
      <c r="A223" s="60"/>
      <c r="B223" s="60"/>
    </row>
    <row r="224" spans="1:2" s="12" customFormat="1" ht="11.25">
      <c r="A224" s="60"/>
      <c r="B224" s="60"/>
    </row>
    <row r="225" spans="1:2" s="12" customFormat="1" ht="11.25">
      <c r="A225" s="60"/>
      <c r="B225" s="60"/>
    </row>
    <row r="226" spans="1:2" s="12" customFormat="1" ht="11.25">
      <c r="A226" s="60"/>
      <c r="B226" s="60"/>
    </row>
    <row r="227" spans="1:2" s="12" customFormat="1" ht="11.25">
      <c r="A227" s="60"/>
      <c r="B227" s="60"/>
    </row>
    <row r="228" spans="1:2" s="12" customFormat="1" ht="11.25">
      <c r="A228" s="60"/>
      <c r="B228" s="60"/>
    </row>
    <row r="229" spans="1:2" s="12" customFormat="1" ht="11.25">
      <c r="A229" s="60"/>
      <c r="B229" s="60"/>
    </row>
    <row r="230" spans="1:2" s="12" customFormat="1" ht="11.25">
      <c r="A230" s="60"/>
      <c r="B230" s="60"/>
    </row>
    <row r="231" spans="1:2" s="12" customFormat="1" ht="11.25">
      <c r="A231" s="60"/>
      <c r="B231" s="60"/>
    </row>
    <row r="232" spans="1:2" s="12" customFormat="1" ht="11.25">
      <c r="A232" s="60"/>
      <c r="B232" s="60"/>
    </row>
    <row r="233" spans="1:2" s="12" customFormat="1" ht="11.25">
      <c r="A233" s="60"/>
      <c r="B233" s="60"/>
    </row>
    <row r="234" spans="1:2" s="12" customFormat="1" ht="11.25">
      <c r="A234" s="60"/>
      <c r="B234" s="60"/>
    </row>
    <row r="235" spans="1:2" s="12" customFormat="1" ht="11.25">
      <c r="A235" s="60"/>
      <c r="B235" s="60"/>
    </row>
    <row r="236" spans="1:2" s="12" customFormat="1" ht="11.25">
      <c r="A236" s="60"/>
      <c r="B236" s="60"/>
    </row>
    <row r="237" spans="1:2" s="12" customFormat="1" ht="11.25">
      <c r="A237" s="60"/>
      <c r="B237" s="60"/>
    </row>
    <row r="238" spans="1:2" s="12" customFormat="1" ht="11.25">
      <c r="A238" s="60"/>
      <c r="B238" s="60"/>
    </row>
    <row r="239" spans="1:2" s="12" customFormat="1" ht="11.25">
      <c r="A239" s="60"/>
      <c r="B239" s="60"/>
    </row>
    <row r="240" spans="1:2" s="12" customFormat="1" ht="11.25">
      <c r="A240" s="60"/>
      <c r="B240" s="60"/>
    </row>
    <row r="241" spans="1:2" s="12" customFormat="1" ht="11.25">
      <c r="A241" s="60"/>
      <c r="B241" s="60"/>
    </row>
    <row r="242" spans="1:2" s="12" customFormat="1" ht="11.25">
      <c r="A242" s="60"/>
      <c r="B242" s="60"/>
    </row>
    <row r="243" spans="1:2" s="12" customFormat="1" ht="11.25">
      <c r="A243" s="60"/>
      <c r="B243" s="60"/>
    </row>
    <row r="244" spans="1:2" s="12" customFormat="1" ht="11.25">
      <c r="A244" s="60"/>
      <c r="B244" s="60"/>
    </row>
    <row r="245" spans="1:2" s="12" customFormat="1" ht="11.25">
      <c r="A245" s="60"/>
      <c r="B245" s="60"/>
    </row>
    <row r="246" spans="1:2" s="12" customFormat="1" ht="11.25">
      <c r="A246" s="60"/>
      <c r="B246" s="60"/>
    </row>
    <row r="247" spans="1:2" s="12" customFormat="1" ht="11.25">
      <c r="A247" s="60"/>
      <c r="B247" s="60"/>
    </row>
    <row r="248" spans="1:2" s="12" customFormat="1" ht="11.25">
      <c r="A248" s="60"/>
      <c r="B248" s="60"/>
    </row>
  </sheetData>
  <sheetProtection/>
  <mergeCells count="156">
    <mergeCell ref="A37:C37"/>
    <mergeCell ref="AN38:AP38"/>
    <mergeCell ref="AN39:AP39"/>
    <mergeCell ref="AN4:AQ4"/>
    <mergeCell ref="AN5:AQ5"/>
    <mergeCell ref="AQ17:AQ18"/>
    <mergeCell ref="AQ15:AQ16"/>
    <mergeCell ref="AO20:AO25"/>
    <mergeCell ref="AN17:AN18"/>
    <mergeCell ref="AO17:AO18"/>
    <mergeCell ref="AP17:AP18"/>
    <mergeCell ref="AN15:AN16"/>
    <mergeCell ref="AO15:AO16"/>
    <mergeCell ref="AP15:AP16"/>
    <mergeCell ref="AF26:AF35"/>
    <mergeCell ref="AI26:AI35"/>
    <mergeCell ref="AL26:AL35"/>
    <mergeCell ref="AM15:AM16"/>
    <mergeCell ref="AH15:AH16"/>
    <mergeCell ref="AI15:AI16"/>
    <mergeCell ref="AQ20:AQ25"/>
    <mergeCell ref="AQ26:AQ35"/>
    <mergeCell ref="AO26:AO35"/>
    <mergeCell ref="AW26:AW35"/>
    <mergeCell ref="AT20:AT25"/>
    <mergeCell ref="AW20:AW25"/>
    <mergeCell ref="AT26:AT35"/>
    <mergeCell ref="AV26:AV35"/>
    <mergeCell ref="AS26:AS35"/>
    <mergeCell ref="AU26:AU35"/>
    <mergeCell ref="AJ15:AJ16"/>
    <mergeCell ref="AK15:AK16"/>
    <mergeCell ref="AI20:AI25"/>
    <mergeCell ref="AK17:AK18"/>
    <mergeCell ref="AL15:AL16"/>
    <mergeCell ref="AE15:AE16"/>
    <mergeCell ref="AF15:AF16"/>
    <mergeCell ref="AG15:AG16"/>
    <mergeCell ref="AF20:AF25"/>
    <mergeCell ref="AL20:AL25"/>
    <mergeCell ref="AE4:AM4"/>
    <mergeCell ref="AE5:AG5"/>
    <mergeCell ref="AH5:AJ5"/>
    <mergeCell ref="AK5:AM5"/>
    <mergeCell ref="AE17:AE18"/>
    <mergeCell ref="AF17:AF18"/>
    <mergeCell ref="AL17:AL18"/>
    <mergeCell ref="AM17:AM18"/>
    <mergeCell ref="AG17:AG18"/>
    <mergeCell ref="AH17:AH18"/>
    <mergeCell ref="W26:W35"/>
    <mergeCell ref="Z26:Z35"/>
    <mergeCell ref="AC26:AC35"/>
    <mergeCell ref="W20:W25"/>
    <mergeCell ref="Z20:Z25"/>
    <mergeCell ref="AC20:AC25"/>
    <mergeCell ref="V15:V16"/>
    <mergeCell ref="W15:W16"/>
    <mergeCell ref="X15:X16"/>
    <mergeCell ref="AD15:AD16"/>
    <mergeCell ref="AA15:AA16"/>
    <mergeCell ref="AB15:AB16"/>
    <mergeCell ref="AC15:AC16"/>
    <mergeCell ref="V4:AD4"/>
    <mergeCell ref="V5:X5"/>
    <mergeCell ref="Y5:AA5"/>
    <mergeCell ref="AB5:AD5"/>
    <mergeCell ref="Z17:Z18"/>
    <mergeCell ref="AA17:AA18"/>
    <mergeCell ref="V17:V18"/>
    <mergeCell ref="W17:W18"/>
    <mergeCell ref="AC17:AC18"/>
    <mergeCell ref="Y15:Y16"/>
    <mergeCell ref="AW15:AW16"/>
    <mergeCell ref="AU17:AU18"/>
    <mergeCell ref="AV17:AV18"/>
    <mergeCell ref="AW17:AW18"/>
    <mergeCell ref="N26:N35"/>
    <mergeCell ref="Q26:Q35"/>
    <mergeCell ref="T26:T35"/>
    <mergeCell ref="N20:N25"/>
    <mergeCell ref="Q20:Q25"/>
    <mergeCell ref="AS15:AS16"/>
    <mergeCell ref="AS17:AS18"/>
    <mergeCell ref="AT17:AT18"/>
    <mergeCell ref="X17:X18"/>
    <mergeCell ref="Y17:Y18"/>
    <mergeCell ref="AU15:AU16"/>
    <mergeCell ref="AV15:AV16"/>
    <mergeCell ref="AT15:AT16"/>
    <mergeCell ref="Z15:Z16"/>
    <mergeCell ref="AI17:AI18"/>
    <mergeCell ref="AJ17:AJ18"/>
    <mergeCell ref="T15:T16"/>
    <mergeCell ref="M15:M16"/>
    <mergeCell ref="N15:N16"/>
    <mergeCell ref="O15:O16"/>
    <mergeCell ref="T20:T25"/>
    <mergeCell ref="U15:U16"/>
    <mergeCell ref="P15:P16"/>
    <mergeCell ref="Q15:Q16"/>
    <mergeCell ref="S15:S16"/>
    <mergeCell ref="R15:R16"/>
    <mergeCell ref="O17:O18"/>
    <mergeCell ref="P17:P18"/>
    <mergeCell ref="Q17:Q18"/>
    <mergeCell ref="E20:E25"/>
    <mergeCell ref="H20:H25"/>
    <mergeCell ref="K20:K25"/>
    <mergeCell ref="K17:K18"/>
    <mergeCell ref="M4:U4"/>
    <mergeCell ref="M5:O5"/>
    <mergeCell ref="P5:R5"/>
    <mergeCell ref="S5:U5"/>
    <mergeCell ref="U17:U18"/>
    <mergeCell ref="H17:H18"/>
    <mergeCell ref="I17:I18"/>
    <mergeCell ref="J17:J18"/>
    <mergeCell ref="M17:M18"/>
    <mergeCell ref="N17:N18"/>
    <mergeCell ref="A26:A35"/>
    <mergeCell ref="B26:B35"/>
    <mergeCell ref="E26:E35"/>
    <mergeCell ref="H26:H35"/>
    <mergeCell ref="K26:K35"/>
    <mergeCell ref="L15:L16"/>
    <mergeCell ref="B17:B18"/>
    <mergeCell ref="L17:L18"/>
    <mergeCell ref="A20:A25"/>
    <mergeCell ref="B20:B25"/>
    <mergeCell ref="H15:H16"/>
    <mergeCell ref="G15:G16"/>
    <mergeCell ref="I15:I16"/>
    <mergeCell ref="J15:J16"/>
    <mergeCell ref="K15:K16"/>
    <mergeCell ref="A12:A13"/>
    <mergeCell ref="A15:A18"/>
    <mergeCell ref="B15:B16"/>
    <mergeCell ref="A8:A11"/>
    <mergeCell ref="D17:D18"/>
    <mergeCell ref="E17:E18"/>
    <mergeCell ref="F17:F18"/>
    <mergeCell ref="G17:G18"/>
    <mergeCell ref="D15:D16"/>
    <mergeCell ref="E15:E16"/>
    <mergeCell ref="F15:F16"/>
    <mergeCell ref="R17:R18"/>
    <mergeCell ref="S17:S18"/>
    <mergeCell ref="T17:T18"/>
    <mergeCell ref="AB17:AB18"/>
    <mergeCell ref="AD17:AD18"/>
    <mergeCell ref="A4:C7"/>
    <mergeCell ref="D4:L4"/>
    <mergeCell ref="D5:F5"/>
    <mergeCell ref="G5:I5"/>
    <mergeCell ref="J5:L5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124"/>
  <sheetViews>
    <sheetView zoomScalePageLayoutView="0" workbookViewId="0" topLeftCell="A3">
      <pane xSplit="1" ySplit="3" topLeftCell="B21" activePane="bottomRight" state="frozen"/>
      <selection pane="topLeft" activeCell="A3" sqref="A3"/>
      <selection pane="topRight" activeCell="B3" sqref="B3"/>
      <selection pane="bottomLeft" activeCell="A6" sqref="A6"/>
      <selection pane="bottomRight" activeCell="F9" sqref="F9"/>
    </sheetView>
  </sheetViews>
  <sheetFormatPr defaultColWidth="9.140625" defaultRowHeight="15"/>
  <cols>
    <col min="1" max="1" width="56.7109375" style="0" bestFit="1" customWidth="1"/>
    <col min="2" max="2" width="20.8515625" style="0" customWidth="1"/>
    <col min="3" max="3" width="20.00390625" style="0" customWidth="1"/>
    <col min="4" max="4" width="20.8515625" style="0" customWidth="1"/>
    <col min="5" max="5" width="20.8515625" style="0" hidden="1" customWidth="1"/>
    <col min="6" max="6" width="16.421875" style="0" bestFit="1" customWidth="1"/>
    <col min="7" max="11" width="15.28125" style="0" bestFit="1" customWidth="1"/>
    <col min="12" max="17" width="17.8515625" style="0" customWidth="1"/>
    <col min="18" max="18" width="17.57421875" style="0" customWidth="1"/>
    <col min="19" max="19" width="16.7109375" style="0" customWidth="1"/>
  </cols>
  <sheetData>
    <row r="1" spans="2:6" ht="45" customHeight="1" thickBot="1">
      <c r="B1" s="110">
        <f>B7+B8+B9</f>
        <v>146403045</v>
      </c>
      <c r="C1" s="110">
        <f>C7+C8+C9</f>
        <v>163605099.51</v>
      </c>
      <c r="D1" s="110">
        <f>D7+D8+D9</f>
        <v>115239798.82814693</v>
      </c>
      <c r="E1" s="110">
        <f>E7+E8+E9</f>
        <v>114045658.44714694</v>
      </c>
      <c r="F1" s="110">
        <f>F7+F8+F9</f>
        <v>10173233.629721213</v>
      </c>
    </row>
    <row r="2" spans="1:17" ht="16.5" thickBot="1" thickTop="1">
      <c r="A2" s="111"/>
      <c r="B2" s="112"/>
      <c r="C2" s="112"/>
      <c r="D2" s="113" t="s">
        <v>28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6.5" customHeight="1" thickBot="1" thickTop="1">
      <c r="A3" s="293" t="s">
        <v>74</v>
      </c>
      <c r="B3" s="294" t="s">
        <v>75</v>
      </c>
      <c r="C3" s="294" t="s">
        <v>76</v>
      </c>
      <c r="D3" s="296" t="s">
        <v>77</v>
      </c>
      <c r="E3" s="296" t="s">
        <v>78</v>
      </c>
      <c r="F3" s="292" t="s">
        <v>24</v>
      </c>
      <c r="G3" s="292" t="s">
        <v>25</v>
      </c>
      <c r="H3" s="292" t="s">
        <v>26</v>
      </c>
      <c r="I3" s="292" t="s">
        <v>32</v>
      </c>
      <c r="J3" s="292" t="s">
        <v>33</v>
      </c>
      <c r="K3" s="292" t="s">
        <v>34</v>
      </c>
      <c r="L3" s="292" t="s">
        <v>35</v>
      </c>
      <c r="M3" s="292" t="s">
        <v>36</v>
      </c>
      <c r="N3" s="292" t="s">
        <v>37</v>
      </c>
      <c r="O3" s="292" t="s">
        <v>38</v>
      </c>
      <c r="P3" s="292" t="s">
        <v>39</v>
      </c>
      <c r="Q3" s="292" t="s">
        <v>40</v>
      </c>
    </row>
    <row r="4" spans="1:17" ht="16.5" thickBot="1" thickTop="1">
      <c r="A4" s="293"/>
      <c r="B4" s="295"/>
      <c r="C4" s="295"/>
      <c r="D4" s="296"/>
      <c r="E4" s="296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</row>
    <row r="5" spans="1:17" ht="34.5" customHeight="1" thickBot="1" thickTop="1">
      <c r="A5" s="115" t="s">
        <v>79</v>
      </c>
      <c r="B5" s="116">
        <f>B7+B8+B9+B6</f>
        <v>176012299</v>
      </c>
      <c r="C5" s="116">
        <f>C7+C8+C9+C6</f>
        <v>205152344.48999998</v>
      </c>
      <c r="D5" s="116">
        <f>D7+D8+D9+D6</f>
        <v>157307431.44614646</v>
      </c>
      <c r="E5" s="116">
        <f>E7+E8+E9+E6</f>
        <v>156113291.06514648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121" customFormat="1" ht="34.5" customHeight="1" thickBot="1">
      <c r="A6" s="118" t="s">
        <v>80</v>
      </c>
      <c r="B6" s="119">
        <f>'[1]PESSOAL E ENCARGOS'!B4</f>
        <v>29609254</v>
      </c>
      <c r="C6" s="119">
        <f>'[1]PESSOAL E ENCARGOS'!C4</f>
        <v>41547244.98</v>
      </c>
      <c r="D6" s="119">
        <f>'[1]PESSOAL E ENCARGOS'!D4</f>
        <v>42067632.61799953</v>
      </c>
      <c r="E6" s="119">
        <f>D6</f>
        <v>42067632.61799953</v>
      </c>
      <c r="F6" s="120">
        <f>'[1]PESSOAL E ENCARGOS'!E4</f>
        <v>3459165.790354749</v>
      </c>
      <c r="G6" s="120">
        <f>'[1]PESSOAL E ENCARGOS'!F4</f>
        <v>3500753.208354749</v>
      </c>
      <c r="H6" s="120">
        <f>'[1]PESSOAL E ENCARGOS'!G4</f>
        <v>3460386.2440547487</v>
      </c>
      <c r="I6" s="120">
        <f>'[1]PESSOAL E ENCARGOS'!H4</f>
        <v>3457876.798054749</v>
      </c>
      <c r="J6" s="120">
        <f>'[1]PESSOAL E ENCARGOS'!I4</f>
        <v>3457876.798054749</v>
      </c>
      <c r="K6" s="120">
        <f>'[1]PESSOAL E ENCARGOS'!J4</f>
        <v>3528534.0654547485</v>
      </c>
      <c r="L6" s="120">
        <f>'[1]PESSOAL E ENCARGOS'!K4</f>
        <v>3462348.2174873753</v>
      </c>
      <c r="M6" s="120">
        <f>'[1]PESSOAL E ENCARGOS'!L4</f>
        <v>3459490.624487376</v>
      </c>
      <c r="N6" s="120">
        <f>'[1]PESSOAL E ENCARGOS'!M4</f>
        <v>3544007.561748072</v>
      </c>
      <c r="O6" s="120">
        <f>'[1]PESSOAL E ENCARGOS'!N4</f>
        <v>3545731.1033160724</v>
      </c>
      <c r="P6" s="120">
        <f>'[1]PESSOAL E ENCARGOS'!O4</f>
        <v>3545731.1033160724</v>
      </c>
      <c r="Q6" s="120">
        <f>'[1]PESSOAL E ENCARGOS'!P4</f>
        <v>3645731.1033160724</v>
      </c>
    </row>
    <row r="7" spans="1:17" s="121" customFormat="1" ht="34.5" customHeight="1" thickBot="1">
      <c r="A7" s="118" t="s">
        <v>81</v>
      </c>
      <c r="B7" s="119">
        <f>B10+B11+B12+B13+B28+B14+B15+B16+B17+B18+B19+B20+B21</f>
        <v>17830721</v>
      </c>
      <c r="C7" s="119">
        <f>C10+C11+C12+C13+C28+C14+C15+C16+C17+C18+C19+C20+C21</f>
        <v>28644301.62</v>
      </c>
      <c r="D7" s="119">
        <f>D10+D11+D12+D13+D28+D14+D15+D16+D17+D18+D19+D20+D21</f>
        <v>34260463.72926667</v>
      </c>
      <c r="E7" s="119">
        <f>E10+E11+E12+E13+E28+E14+E15+E16+E17+E18+E19+E20+E21</f>
        <v>33066323.34826667</v>
      </c>
      <c r="F7" s="120">
        <f>F10+F11+F12+F13+F28+F14+F15+F16+F17+F18+F19+F20+F21</f>
        <v>2589640.225966667</v>
      </c>
      <c r="G7" s="120">
        <f aca="true" t="shared" si="0" ref="G7:Q7">G10+G11+G12+G13+G28+G14+G15+G16+G17+G18+G19+G20+G21</f>
        <v>4951037.009633333</v>
      </c>
      <c r="H7" s="120">
        <f t="shared" si="0"/>
        <v>4498378.009633333</v>
      </c>
      <c r="I7" s="120">
        <f t="shared" si="0"/>
        <v>5793550.2563</v>
      </c>
      <c r="J7" s="120">
        <f t="shared" si="0"/>
        <v>2070767.7030916666</v>
      </c>
      <c r="K7" s="120">
        <f t="shared" si="0"/>
        <v>2317048.5165916667</v>
      </c>
      <c r="L7" s="120">
        <f t="shared" si="0"/>
        <v>2245020.817425</v>
      </c>
      <c r="M7" s="120">
        <f t="shared" si="0"/>
        <v>1609856.967925</v>
      </c>
      <c r="N7" s="120">
        <f t="shared" si="0"/>
        <v>2072120.3012583333</v>
      </c>
      <c r="O7" s="120">
        <f t="shared" si="0"/>
        <v>2094664.3012583333</v>
      </c>
      <c r="P7" s="120">
        <f t="shared" si="0"/>
        <v>2374691.1017583334</v>
      </c>
      <c r="Q7" s="120">
        <f t="shared" si="0"/>
        <v>1643688.5184250001</v>
      </c>
    </row>
    <row r="8" spans="1:17" s="121" customFormat="1" ht="34.5" customHeight="1" thickBot="1">
      <c r="A8" s="118" t="s">
        <v>82</v>
      </c>
      <c r="B8" s="119">
        <f>B26+B27</f>
        <v>111021756</v>
      </c>
      <c r="C8" s="119">
        <f aca="true" t="shared" si="1" ref="C8:Q8">C26+C27</f>
        <v>115370187.2</v>
      </c>
      <c r="D8" s="119">
        <f t="shared" si="1"/>
        <v>62102798.0028</v>
      </c>
      <c r="E8" s="119">
        <f t="shared" si="1"/>
        <v>62102798.0028</v>
      </c>
      <c r="F8" s="120">
        <f>F26+F27</f>
        <v>6074897.0028</v>
      </c>
      <c r="G8" s="120">
        <f t="shared" si="1"/>
        <v>5994398</v>
      </c>
      <c r="H8" s="120">
        <f t="shared" si="1"/>
        <v>6048399</v>
      </c>
      <c r="I8" s="120">
        <f t="shared" si="1"/>
        <v>5968400</v>
      </c>
      <c r="J8" s="120">
        <f t="shared" si="1"/>
        <v>6048401</v>
      </c>
      <c r="K8" s="120">
        <f t="shared" si="1"/>
        <v>5968402</v>
      </c>
      <c r="L8" s="120">
        <f t="shared" si="1"/>
        <v>4373736</v>
      </c>
      <c r="M8" s="120">
        <f t="shared" si="1"/>
        <v>4293237</v>
      </c>
      <c r="N8" s="120">
        <f t="shared" si="1"/>
        <v>4373238</v>
      </c>
      <c r="O8" s="120">
        <f t="shared" si="1"/>
        <v>4293239</v>
      </c>
      <c r="P8" s="120">
        <f t="shared" si="1"/>
        <v>4373240</v>
      </c>
      <c r="Q8" s="120">
        <f t="shared" si="1"/>
        <v>4293241</v>
      </c>
    </row>
    <row r="9" spans="1:17" ht="34.5" customHeight="1" thickBot="1">
      <c r="A9" s="118" t="s">
        <v>83</v>
      </c>
      <c r="B9" s="119">
        <f>B22+B23+B24</f>
        <v>17550568</v>
      </c>
      <c r="C9" s="119">
        <f>C22+C23+C24</f>
        <v>19590610.69</v>
      </c>
      <c r="D9" s="119">
        <f>D22+D23+D24</f>
        <v>18876537.096080262</v>
      </c>
      <c r="E9" s="119">
        <f>E22+E23+E24</f>
        <v>18876537.096080262</v>
      </c>
      <c r="F9" s="120">
        <f aca="true" t="shared" si="2" ref="F9:Q9">F22+F23</f>
        <v>1508696.4009545455</v>
      </c>
      <c r="G9" s="120">
        <f t="shared" si="2"/>
        <v>1541810.145025692</v>
      </c>
      <c r="H9" s="120">
        <f t="shared" si="2"/>
        <v>1491238.720353801</v>
      </c>
      <c r="I9" s="120">
        <f t="shared" si="2"/>
        <v>1574243.7664090912</v>
      </c>
      <c r="J9" s="120">
        <f t="shared" si="2"/>
        <v>1373288.0013479532</v>
      </c>
      <c r="K9" s="120">
        <f t="shared" si="2"/>
        <v>1311118.9978333332</v>
      </c>
      <c r="L9" s="120">
        <f t="shared" si="2"/>
        <v>1622353.5632272728</v>
      </c>
      <c r="M9" s="120">
        <f t="shared" si="2"/>
        <v>1453453.8588333332</v>
      </c>
      <c r="N9" s="120">
        <f t="shared" si="2"/>
        <v>1707881.303595238</v>
      </c>
      <c r="O9" s="120">
        <f t="shared" si="2"/>
        <v>1558243.0988333332</v>
      </c>
      <c r="P9" s="120">
        <f t="shared" si="2"/>
        <v>1558804.1121666664</v>
      </c>
      <c r="Q9" s="120">
        <f t="shared" si="2"/>
        <v>1605963.4655</v>
      </c>
    </row>
    <row r="10" spans="1:19" ht="30.75" customHeight="1" thickBot="1">
      <c r="A10" s="122" t="s">
        <v>84</v>
      </c>
      <c r="B10" s="123">
        <f>486993+1799414+3225</f>
        <v>2289632</v>
      </c>
      <c r="C10" s="123">
        <v>2241000</v>
      </c>
      <c r="D10" s="124">
        <f>'[1]CGSF DEP CORRENTES'!B6</f>
        <v>3542638.7860000003</v>
      </c>
      <c r="E10" s="124">
        <f>D10-'[1]Média das Despesas Àgua e Luz'!I2</f>
        <v>3298096.3460000004</v>
      </c>
      <c r="F10" s="125">
        <f>'[1]CGSF DEP CORRENTES'!C6</f>
        <v>276419.4413333334</v>
      </c>
      <c r="G10" s="125">
        <f>'[1]CGSF DEP CORRENTES'!D6</f>
        <v>270230.9713333333</v>
      </c>
      <c r="H10" s="125">
        <f>'[1]CGSF DEP CORRENTES'!E6</f>
        <v>269030.9713333333</v>
      </c>
      <c r="I10" s="125">
        <f>'[1]CGSF DEP CORRENTES'!F6</f>
        <v>269190.9713333333</v>
      </c>
      <c r="J10" s="125">
        <f>'[1]CGSF DEP CORRENTES'!G6</f>
        <v>268838.5613333333</v>
      </c>
      <c r="K10" s="125">
        <f>'[1]CGSF DEP CORRENTES'!H6</f>
        <v>268838.5613333333</v>
      </c>
      <c r="L10" s="125">
        <f>'[1]CGSF DEP CORRENTES'!I6</f>
        <v>268998.5613333333</v>
      </c>
      <c r="M10" s="125">
        <f>'[1]CGSF DEP CORRENTES'!J6</f>
        <v>268838.5613333333</v>
      </c>
      <c r="N10" s="125">
        <f>'[1]CGSF DEP CORRENTES'!K6</f>
        <v>385505.228</v>
      </c>
      <c r="O10" s="125">
        <f>'[1]CGSF DEP CORRENTES'!L6</f>
        <v>387665.228</v>
      </c>
      <c r="P10" s="125">
        <f>'[1]CGSF DEP CORRENTES'!M6</f>
        <v>368768.94800000003</v>
      </c>
      <c r="Q10" s="125">
        <f>'[1]CGSF DEP CORRENTES'!N6</f>
        <v>240312.78133333335</v>
      </c>
      <c r="R10" s="4">
        <f>SUM(F10:Q10)</f>
        <v>3542638.7860000003</v>
      </c>
      <c r="S10" s="110">
        <f>R10-D10</f>
        <v>0</v>
      </c>
    </row>
    <row r="11" spans="1:19" ht="32.25" customHeight="1" thickBot="1" thickTop="1">
      <c r="A11" s="126" t="s">
        <v>85</v>
      </c>
      <c r="B11" s="127">
        <f>19702+344198+42</f>
        <v>363942</v>
      </c>
      <c r="C11" s="127">
        <v>734913.76</v>
      </c>
      <c r="D11" s="128">
        <f>'[1]CCIVV DEP CORRENTES'!B6</f>
        <v>1142799.0897999997</v>
      </c>
      <c r="E11" s="124">
        <f>D11-'[1]Média das Despesas Àgua e Luz'!I3</f>
        <v>808704.8847999998</v>
      </c>
      <c r="F11" s="129">
        <f>'[1]CCIVV DEP CORRENTES'!C6</f>
        <v>165200.99748333334</v>
      </c>
      <c r="G11" s="129">
        <f>'[1]CCIVV DEP CORRENTES'!D6</f>
        <v>158840.99748333334</v>
      </c>
      <c r="H11" s="129">
        <f>'[1]CCIVV DEP CORRENTES'!E6</f>
        <v>158200.99748333334</v>
      </c>
      <c r="I11" s="129">
        <f>'[1]CCIVV DEP CORRENTES'!F6</f>
        <v>74307.66415</v>
      </c>
      <c r="J11" s="129">
        <f>'[1]CCIVV DEP CORRENTES'!G6</f>
        <v>74495.25415</v>
      </c>
      <c r="K11" s="129">
        <f>'[1]CCIVV DEP CORRENTES'!H6</f>
        <v>73935.25415</v>
      </c>
      <c r="L11" s="129">
        <f>'[1]CCIVV DEP CORRENTES'!I6</f>
        <v>74495.25415</v>
      </c>
      <c r="M11" s="129">
        <f>'[1]CCIVV DEP CORRENTES'!J6</f>
        <v>75935.25415</v>
      </c>
      <c r="N11" s="129">
        <f>'[1]CCIVV DEP CORRENTES'!K6</f>
        <v>74495.25415</v>
      </c>
      <c r="O11" s="129">
        <f>'[1]CCIVV DEP CORRENTES'!L6</f>
        <v>75935.25415</v>
      </c>
      <c r="P11" s="129">
        <f>'[1]CCIVV DEP CORRENTES'!M6</f>
        <v>74127.91415</v>
      </c>
      <c r="Q11" s="129">
        <f>'[1]CCIVV DEP CORRENTES'!N6</f>
        <v>62828.99415</v>
      </c>
      <c r="R11" s="4">
        <f aca="true" t="shared" si="3" ref="R11:R28">SUM(F11:Q11)</f>
        <v>1142799.0897999997</v>
      </c>
      <c r="S11" s="110">
        <f aca="true" t="shared" si="4" ref="S11:S28">R11-D11</f>
        <v>0</v>
      </c>
    </row>
    <row r="12" spans="1:19" ht="39.75" customHeight="1" thickBot="1" thickTop="1">
      <c r="A12" s="126" t="s">
        <v>86</v>
      </c>
      <c r="B12" s="127">
        <f>15167+360720+76</f>
        <v>375963</v>
      </c>
      <c r="C12" s="127">
        <v>530684.13</v>
      </c>
      <c r="D12" s="128">
        <f>'[1]CCICM DEP CORRENTES'!B6</f>
        <v>1321059.9474333334</v>
      </c>
      <c r="E12" s="124">
        <f>D12-'[1]Média das Despesas Àgua e Luz'!I4</f>
        <v>1271475.5584333334</v>
      </c>
      <c r="F12" s="129">
        <f>'[1]CCICM DEP CORRENTES'!C6</f>
        <v>60297.9168</v>
      </c>
      <c r="G12" s="129">
        <f>'[1]CCICM DEP CORRENTES'!D6</f>
        <v>51926.6768</v>
      </c>
      <c r="H12" s="129">
        <f>'[1]CCICM DEP CORRENTES'!E6</f>
        <v>52776.6768</v>
      </c>
      <c r="I12" s="129">
        <f>'[1]CCICM DEP CORRENTES'!F6</f>
        <v>51626.6768</v>
      </c>
      <c r="J12" s="129">
        <f>'[1]CCICM DEP CORRENTES'!G6</f>
        <v>52699.85346666667</v>
      </c>
      <c r="K12" s="129">
        <f>'[1]CCICM DEP CORRENTES'!H6</f>
        <v>54533.61096666667</v>
      </c>
      <c r="L12" s="129">
        <f>'[1]CCICM DEP CORRENTES'!I6</f>
        <v>52311.41096666667</v>
      </c>
      <c r="M12" s="129">
        <f>'[1]CCICM DEP CORRENTES'!J6</f>
        <v>51161.41096666667</v>
      </c>
      <c r="N12" s="129">
        <f>'[1]CCICM DEP CORRENTES'!K6</f>
        <v>227711.41096666665</v>
      </c>
      <c r="O12" s="129">
        <f>'[1]CCICM DEP CORRENTES'!L6</f>
        <v>226161.41096666665</v>
      </c>
      <c r="P12" s="129">
        <f>'[1]CCICM DEP CORRENTES'!M6</f>
        <v>227311.41096666665</v>
      </c>
      <c r="Q12" s="129">
        <f>'[1]CCICM DEP CORRENTES'!N6</f>
        <v>212541.48096666666</v>
      </c>
      <c r="R12" s="4">
        <f t="shared" si="3"/>
        <v>1321059.9474333334</v>
      </c>
      <c r="S12" s="110">
        <f t="shared" si="4"/>
        <v>0</v>
      </c>
    </row>
    <row r="13" spans="1:19" ht="36" customHeight="1" thickBot="1" thickTop="1">
      <c r="A13" s="126" t="s">
        <v>87</v>
      </c>
      <c r="B13" s="127">
        <f>13568+470738</f>
        <v>484306</v>
      </c>
      <c r="C13" s="127">
        <v>565152.42</v>
      </c>
      <c r="D13" s="130">
        <f>'[1]CCINF DESPESAS CORRENTES'!B6</f>
        <v>956918.6046000001</v>
      </c>
      <c r="E13" s="124">
        <f>D13-'[1]Média das Despesas Àgua e Luz'!I5</f>
        <v>888984.3901000001</v>
      </c>
      <c r="F13" s="131">
        <f>'[1]CCINF DESPESAS CORRENTES'!C6</f>
        <v>68353.40038333334</v>
      </c>
      <c r="G13" s="131">
        <f>'[1]CCINF DESPESAS CORRENTES'!D6</f>
        <v>61455.50038333333</v>
      </c>
      <c r="H13" s="131">
        <f>'[1]CCINF DESPESAS CORRENTES'!E6</f>
        <v>61155.50038333333</v>
      </c>
      <c r="I13" s="131">
        <f>'[1]CCINF DESPESAS CORRENTES'!F6</f>
        <v>61155.50038333333</v>
      </c>
      <c r="J13" s="131">
        <f>'[1]CCINF DESPESAS CORRENTES'!G6</f>
        <v>61039.36038333333</v>
      </c>
      <c r="K13" s="131">
        <f>'[1]CCINF DESPESAS CORRENTES'!H6</f>
        <v>61039.36038333333</v>
      </c>
      <c r="L13" s="131">
        <f>'[1]CCINF DESPESAS CORRENTES'!I6</f>
        <v>61039.36038333333</v>
      </c>
      <c r="M13" s="131">
        <f>'[1]CCINF DESPESAS CORRENTES'!J6</f>
        <v>61039.36038333333</v>
      </c>
      <c r="N13" s="131">
        <f>'[1]CCINF DESPESAS CORRENTES'!K6</f>
        <v>137706.02705</v>
      </c>
      <c r="O13" s="131">
        <f>'[1]CCINF DESPESAS CORRENTES'!L6</f>
        <v>137706.02705</v>
      </c>
      <c r="P13" s="131">
        <f>'[1]CCINF DESPESAS CORRENTES'!M6</f>
        <v>137706.02705</v>
      </c>
      <c r="Q13" s="131">
        <f>'[1]CCINF DESPESAS CORRENTES'!N6</f>
        <v>47523.180383333325</v>
      </c>
      <c r="R13" s="4">
        <f t="shared" si="3"/>
        <v>956918.6046000001</v>
      </c>
      <c r="S13" s="110">
        <f t="shared" si="4"/>
        <v>0</v>
      </c>
    </row>
    <row r="14" spans="1:19" ht="36.75" customHeight="1" thickBot="1" thickTop="1">
      <c r="A14" s="126" t="s">
        <v>88</v>
      </c>
      <c r="B14" s="127">
        <f>24690+461197+76</f>
        <v>485963</v>
      </c>
      <c r="C14" s="127">
        <v>1025946.98</v>
      </c>
      <c r="D14" s="132">
        <f>'[1]CCANM DESPESAS CORRENTES'!B6</f>
        <v>1508255.9672000003</v>
      </c>
      <c r="E14" s="124">
        <f>D14-'[1]Média das Despesas Àgua e Luz'!I6</f>
        <v>1467304.7087000003</v>
      </c>
      <c r="F14" s="133">
        <f>'[1]CCANM DESPESAS CORRENTES'!C6</f>
        <v>238786.3731</v>
      </c>
      <c r="G14" s="133">
        <f>'[1]CCANM DESPESAS CORRENTES'!D6</f>
        <v>239217.96309999996</v>
      </c>
      <c r="H14" s="133">
        <f>'[1]CCANM DESPESAS CORRENTES'!E6</f>
        <v>239217.96309999996</v>
      </c>
      <c r="I14" s="133">
        <f>'[1]CCANM DESPESAS CORRENTES'!F6</f>
        <v>239217.96309999996</v>
      </c>
      <c r="J14" s="133">
        <f>'[1]CCANM DESPESAS CORRENTES'!G6</f>
        <v>68976.96310000001</v>
      </c>
      <c r="K14" s="133">
        <f>'[1]CCANM DESPESAS CORRENTES'!H6</f>
        <v>68976.96310000001</v>
      </c>
      <c r="L14" s="133">
        <f>'[1]CCANM DESPESAS CORRENTES'!I6</f>
        <v>68976.96310000001</v>
      </c>
      <c r="M14" s="133">
        <f>'[1]CCANM DESPESAS CORRENTES'!J6</f>
        <v>68976.96310000001</v>
      </c>
      <c r="N14" s="133">
        <f>'[1]CCANM DESPESAS CORRENTES'!K6</f>
        <v>68976.96310000001</v>
      </c>
      <c r="O14" s="133">
        <f>'[1]CCANM DESPESAS CORRENTES'!L6</f>
        <v>68976.96310000001</v>
      </c>
      <c r="P14" s="133">
        <f>'[1]CCANM DESPESAS CORRENTES'!M6</f>
        <v>68976.96310000001</v>
      </c>
      <c r="Q14" s="133">
        <f>'[1]CCANM DESPESAS CORRENTES'!N6</f>
        <v>68976.96310000001</v>
      </c>
      <c r="R14" s="4">
        <f t="shared" si="3"/>
        <v>1508255.9672000003</v>
      </c>
      <c r="S14" s="110">
        <f t="shared" si="4"/>
        <v>0</v>
      </c>
    </row>
    <row r="15" spans="1:19" ht="28.5" customHeight="1" thickBot="1" thickTop="1">
      <c r="A15" s="126" t="s">
        <v>89</v>
      </c>
      <c r="B15" s="127">
        <f>38217+136202+1203</f>
        <v>175622</v>
      </c>
      <c r="C15" s="127">
        <v>578809.03</v>
      </c>
      <c r="D15" s="132">
        <f>'[1]CSDGB DESPESAS CORRENTES'!B6</f>
        <v>584108.2662000001</v>
      </c>
      <c r="E15" s="124">
        <f>D15-'[1]Média das Despesas Àgua e Luz'!I7</f>
        <v>566008.3127000001</v>
      </c>
      <c r="F15" s="133">
        <f>'[1]CSDGB DESPESAS CORRENTES'!C6</f>
        <v>49811.929599999996</v>
      </c>
      <c r="G15" s="133">
        <f>'[1]CSDGB DESPESAS CORRENTES'!D6</f>
        <v>41750.8196</v>
      </c>
      <c r="H15" s="133">
        <f>'[1]CSDGB DESPESAS CORRENTES'!E6</f>
        <v>41750.8196</v>
      </c>
      <c r="I15" s="133">
        <f>'[1]CSDGB DESPESAS CORRENTES'!F6</f>
        <v>44250.8196</v>
      </c>
      <c r="J15" s="133">
        <f>'[1]CSDGB DESPESAS CORRENTES'!G6</f>
        <v>41651.6796</v>
      </c>
      <c r="K15" s="133">
        <f>'[1]CSDGB DESPESAS CORRENTES'!H6</f>
        <v>41651.6796</v>
      </c>
      <c r="L15" s="133">
        <f>'[1]CSDGB DESPESAS CORRENTES'!I6</f>
        <v>43851.6796</v>
      </c>
      <c r="M15" s="133">
        <f>'[1]CSDGB DESPESAS CORRENTES'!J6</f>
        <v>42631.6796</v>
      </c>
      <c r="N15" s="133">
        <f>'[1]CSDGB DESPESAS CORRENTES'!K6</f>
        <v>41651.6796</v>
      </c>
      <c r="O15" s="133">
        <f>'[1]CSDGB DESPESAS CORRENTES'!L6</f>
        <v>41651.6796</v>
      </c>
      <c r="P15" s="133">
        <f>'[1]CSDGB DESPESAS CORRENTES'!M6</f>
        <v>111726.9001</v>
      </c>
      <c r="Q15" s="133">
        <f>'[1]CSDGB DESPESAS CORRENTES'!N6</f>
        <v>41726.9001</v>
      </c>
      <c r="R15" s="4">
        <f t="shared" si="3"/>
        <v>584108.2662000001</v>
      </c>
      <c r="S15" s="110">
        <f t="shared" si="4"/>
        <v>0</v>
      </c>
    </row>
    <row r="16" spans="1:19" ht="37.5" customHeight="1" thickBot="1" thickTop="1">
      <c r="A16" s="126" t="s">
        <v>49</v>
      </c>
      <c r="B16" s="127">
        <f>230005+1226201+1868</f>
        <v>1458074</v>
      </c>
      <c r="C16" s="127">
        <v>1395618.6</v>
      </c>
      <c r="D16" s="132">
        <f>'[1]CIGO DESPESAS CORRENTES'!B6</f>
        <v>1582087.0377999998</v>
      </c>
      <c r="E16" s="124">
        <f>D16-'[1]Média das Despesas Àgua e Luz'!I8</f>
        <v>1358815.1702999999</v>
      </c>
      <c r="F16" s="133">
        <f>'[1]CIGO DESPESAS CORRENTES'!C6</f>
        <v>145228.58106666667</v>
      </c>
      <c r="G16" s="133">
        <f>'[1]CIGO DESPESAS CORRENTES'!D6</f>
        <v>139578.58106666667</v>
      </c>
      <c r="H16" s="133">
        <f>'[1]CIGO DESPESAS CORRENTES'!E6</f>
        <v>137508.58106666667</v>
      </c>
      <c r="I16" s="133">
        <f>'[1]CIGO DESPESAS CORRENTES'!F6</f>
        <v>136578.58106666667</v>
      </c>
      <c r="J16" s="133">
        <f>'[1]CIGO DESPESAS CORRENTES'!G6</f>
        <v>133906.03106666665</v>
      </c>
      <c r="K16" s="133">
        <f>'[1]CIGO DESPESAS CORRENTES'!H6</f>
        <v>138769.83106666667</v>
      </c>
      <c r="L16" s="133">
        <f>'[1]CIGO DESPESAS CORRENTES'!I6</f>
        <v>133639.83106666667</v>
      </c>
      <c r="M16" s="133">
        <f>'[1]CIGO DESPESAS CORRENTES'!J6</f>
        <v>133578.38606666666</v>
      </c>
      <c r="N16" s="133">
        <f>'[1]CIGO DESPESAS CORRENTES'!K6</f>
        <v>134508.38606666666</v>
      </c>
      <c r="O16" s="133">
        <f>'[1]CIGO DESPESAS CORRENTES'!L6</f>
        <v>134202.38606666666</v>
      </c>
      <c r="P16" s="133">
        <f>'[1]CIGO DESPESAS CORRENTES'!M6</f>
        <v>133424.78606666665</v>
      </c>
      <c r="Q16" s="133">
        <f>'[1]CIGO DESPESAS CORRENTES'!N6</f>
        <v>81163.07606666666</v>
      </c>
      <c r="R16" s="4">
        <f t="shared" si="3"/>
        <v>1582087.0377999998</v>
      </c>
      <c r="S16" s="110">
        <f t="shared" si="4"/>
        <v>0</v>
      </c>
    </row>
    <row r="17" spans="1:19" ht="28.5" customHeight="1" thickBot="1" thickTop="1">
      <c r="A17" s="126" t="s">
        <v>90</v>
      </c>
      <c r="B17" s="127">
        <f>1437+120295+25</f>
        <v>121757</v>
      </c>
      <c r="C17" s="127">
        <v>191325.97</v>
      </c>
      <c r="D17" s="132">
        <f>'[1]CGV DESPESAS CORRENTES'!B6</f>
        <v>214231.26040000003</v>
      </c>
      <c r="E17" s="124">
        <f>D17-'[1]Média das Despesas Àgua e Luz'!I9</f>
        <v>173569.42240000004</v>
      </c>
      <c r="F17" s="133">
        <f>'[1]CGV DESPESAS CORRENTES'!C6</f>
        <v>20046.0867</v>
      </c>
      <c r="G17" s="133">
        <f>'[1]CGV DESPESAS CORRENTES'!D6</f>
        <v>13094.1067</v>
      </c>
      <c r="H17" s="133">
        <f>'[1]CGV DESPESAS CORRENTES'!E6</f>
        <v>13094.1067</v>
      </c>
      <c r="I17" s="133">
        <f>'[1]CGV DESPESAS CORRENTES'!F6</f>
        <v>13244.1067</v>
      </c>
      <c r="J17" s="133">
        <f>'[1]CGV DESPESAS CORRENTES'!G6</f>
        <v>13094.1067</v>
      </c>
      <c r="K17" s="133">
        <f>'[1]CGV DESPESAS CORRENTES'!H6</f>
        <v>13094.1067</v>
      </c>
      <c r="L17" s="133">
        <f>'[1]CGV DESPESAS CORRENTES'!I6</f>
        <v>13094.1067</v>
      </c>
      <c r="M17" s="133">
        <f>'[1]CGV DESPESAS CORRENTES'!J6</f>
        <v>13094.1067</v>
      </c>
      <c r="N17" s="133">
        <f>'[1]CGV DESPESAS CORRENTES'!K6</f>
        <v>13094.1067</v>
      </c>
      <c r="O17" s="133">
        <f>'[1]CGV DESPESAS CORRENTES'!L6</f>
        <v>13094.1067</v>
      </c>
      <c r="P17" s="133">
        <f>'[1]CGV DESPESAS CORRENTES'!M6</f>
        <v>38094.1067</v>
      </c>
      <c r="Q17" s="133">
        <f>'[1]CGV DESPESAS CORRENTES'!N6</f>
        <v>38094.1067</v>
      </c>
      <c r="R17" s="4">
        <f t="shared" si="3"/>
        <v>214231.26040000003</v>
      </c>
      <c r="S17" s="110">
        <f t="shared" si="4"/>
        <v>0</v>
      </c>
    </row>
    <row r="18" spans="1:19" ht="33.75" customHeight="1" thickBot="1" thickTop="1">
      <c r="A18" s="126" t="s">
        <v>91</v>
      </c>
      <c r="B18" s="127">
        <f>2188971+53256+198</f>
        <v>2242425</v>
      </c>
      <c r="C18" s="127">
        <v>7187776.71</v>
      </c>
      <c r="D18" s="132">
        <f>'[1]GASB DESPESAS OPERACIONAIS'!B6</f>
        <v>7259363.482733335</v>
      </c>
      <c r="E18" s="124">
        <f>D18-'[1]Média das Despesas Àgua e Luz'!I10</f>
        <v>7259363.482733335</v>
      </c>
      <c r="F18" s="133">
        <f>'[1]GASB DESPESAS OPERACIONAIS'!C6</f>
        <v>510878.54578333336</v>
      </c>
      <c r="G18" s="133">
        <f>'[1]GASB DESPESAS OPERACIONAIS'!D6</f>
        <v>480350.83745000005</v>
      </c>
      <c r="H18" s="133">
        <f>'[1]GASB DESPESAS OPERACIONAIS'!E6</f>
        <v>472060.83745000005</v>
      </c>
      <c r="I18" s="133">
        <f>'[1]GASB DESPESAS OPERACIONAIS'!F6</f>
        <v>495560.83745000005</v>
      </c>
      <c r="J18" s="133">
        <f>'[1]GASB DESPESAS OPERACIONAIS'!G6</f>
        <v>472715.85307500005</v>
      </c>
      <c r="K18" s="133">
        <f>'[1]GASB DESPESAS OPERACIONAIS'!H6</f>
        <v>1111575.853075</v>
      </c>
      <c r="L18" s="133">
        <f>'[1]GASB DESPESAS OPERACIONAIS'!I6</f>
        <v>1134975.853075</v>
      </c>
      <c r="M18" s="133">
        <f>'[1]GASB DESPESAS OPERACIONAIS'!J6</f>
        <v>511575.85307500005</v>
      </c>
      <c r="N18" s="133">
        <f>'[1]GASB DESPESAS OPERACIONAIS'!K6</f>
        <v>511575.85307500005</v>
      </c>
      <c r="O18" s="133">
        <f>'[1]GASB DESPESAS OPERACIONAIS'!L6</f>
        <v>534975.853075</v>
      </c>
      <c r="P18" s="133">
        <f>'[1]GASB DESPESAS OPERACIONAIS'!M6</f>
        <v>511558.65307500004</v>
      </c>
      <c r="Q18" s="133">
        <f>'[1]GASB DESPESAS OPERACIONAIS'!N6</f>
        <v>511558.65307500004</v>
      </c>
      <c r="R18" s="4">
        <f t="shared" si="3"/>
        <v>7259363.482733335</v>
      </c>
      <c r="S18" s="110">
        <f t="shared" si="4"/>
        <v>0</v>
      </c>
    </row>
    <row r="19" spans="1:19" ht="26.25" customHeight="1" thickBot="1" thickTop="1">
      <c r="A19" s="126" t="s">
        <v>92</v>
      </c>
      <c r="B19" s="127">
        <f>6798987+208559</f>
        <v>7007546</v>
      </c>
      <c r="C19" s="127">
        <f>8800000+900000</f>
        <v>9700000</v>
      </c>
      <c r="D19" s="128">
        <f>'[1]NATAL DESPESAS OPERACIONAL'!B6</f>
        <v>10205000</v>
      </c>
      <c r="E19" s="124">
        <f>D19-'[1]Média das Despesas Àgua e Luz'!I11</f>
        <v>10205000</v>
      </c>
      <c r="F19" s="129">
        <f>'[1]NATAL DESPESAS OPERACIONAL'!C6</f>
        <v>0</v>
      </c>
      <c r="G19" s="129">
        <f>'[1]NATAL DESPESAS OPERACIONAL'!D6</f>
        <v>3000000</v>
      </c>
      <c r="H19" s="129">
        <f>'[1]NATAL DESPESAS OPERACIONAL'!E6</f>
        <v>2600000</v>
      </c>
      <c r="I19" s="129">
        <f>'[1]NATAL DESPESAS OPERACIONAL'!F6</f>
        <v>4015000</v>
      </c>
      <c r="J19" s="129">
        <f>'[1]NATAL DESPESAS OPERACIONAL'!G6</f>
        <v>488000</v>
      </c>
      <c r="K19" s="129">
        <f>'[1]NATAL DESPESAS OPERACIONAL'!H6</f>
        <v>102000</v>
      </c>
      <c r="L19" s="129">
        <f>'[1]NATAL DESPESAS OPERACIONAL'!I6</f>
        <v>0</v>
      </c>
      <c r="M19" s="129">
        <f>'[1]NATAL DESPESAS OPERACIONAL'!J6</f>
        <v>0</v>
      </c>
      <c r="N19" s="129">
        <f>'[1]NATAL DESPESAS OPERACIONAL'!K6</f>
        <v>0</v>
      </c>
      <c r="O19" s="129">
        <f>'[1]NATAL DESPESAS OPERACIONAL'!L6</f>
        <v>0</v>
      </c>
      <c r="P19" s="129">
        <f>'[1]NATAL DESPESAS OPERACIONAL'!M6</f>
        <v>0</v>
      </c>
      <c r="Q19" s="129">
        <f>'[1]NATAL DESPESAS OPERACIONAL'!N6</f>
        <v>0</v>
      </c>
      <c r="R19" s="4">
        <f t="shared" si="3"/>
        <v>10205000</v>
      </c>
      <c r="S19" s="110">
        <f t="shared" si="4"/>
        <v>0</v>
      </c>
    </row>
    <row r="20" spans="1:19" ht="33" customHeight="1" thickBot="1" thickTop="1">
      <c r="A20" s="126" t="s">
        <v>93</v>
      </c>
      <c r="B20" s="127">
        <f>978+30897+148+14378</f>
        <v>46401</v>
      </c>
      <c r="C20" s="127">
        <v>70000</v>
      </c>
      <c r="D20" s="128">
        <f>'[1]ROMARIAS MUQUÉM'!B6</f>
        <v>87500</v>
      </c>
      <c r="E20" s="124">
        <f>D20-'[1]Média das Despesas Àgua e Luz'!I12</f>
        <v>87500</v>
      </c>
      <c r="F20" s="129">
        <f>'[1]ROMARIAS MUQUÉM'!C6</f>
        <v>87500</v>
      </c>
      <c r="G20" s="129">
        <f>'[1]ROMARIAS MUQUÉM'!D6</f>
        <v>0</v>
      </c>
      <c r="H20" s="129">
        <f>'[1]ROMARIAS MUQUÉM'!E6</f>
        <v>0</v>
      </c>
      <c r="I20" s="129">
        <f>'[1]ROMARIAS MUQUÉM'!F6</f>
        <v>0</v>
      </c>
      <c r="J20" s="129">
        <f>'[1]ROMARIAS MUQUÉM'!G6</f>
        <v>0</v>
      </c>
      <c r="K20" s="129">
        <f>'[1]ROMARIAS MUQUÉM'!H6</f>
        <v>0</v>
      </c>
      <c r="L20" s="129">
        <f>'[1]ROMARIAS MUQUÉM'!I6</f>
        <v>0</v>
      </c>
      <c r="M20" s="129">
        <v>0</v>
      </c>
      <c r="N20" s="129">
        <v>0</v>
      </c>
      <c r="O20" s="129">
        <f>'[1]ROMARIAS MUQUÉM'!L6</f>
        <v>0</v>
      </c>
      <c r="P20" s="129">
        <f>'[1]ROMARIAS MUQUÉM'!M6</f>
        <v>0</v>
      </c>
      <c r="Q20" s="129">
        <f>'[1]ROMARIAS MUQUÉM'!N6</f>
        <v>0</v>
      </c>
      <c r="R20" s="4">
        <f t="shared" si="3"/>
        <v>87500</v>
      </c>
      <c r="S20" s="110">
        <f t="shared" si="4"/>
        <v>0</v>
      </c>
    </row>
    <row r="21" spans="1:19" ht="28.5" customHeight="1" thickBot="1" thickTop="1">
      <c r="A21" s="126" t="s">
        <v>94</v>
      </c>
      <c r="B21" s="127">
        <f>20359+79488+93+47986</f>
        <v>147926</v>
      </c>
      <c r="C21" s="127">
        <v>230000</v>
      </c>
      <c r="D21" s="130">
        <f>'[1]ROMARIA TRINDADE'!B7</f>
        <v>230000</v>
      </c>
      <c r="E21" s="124">
        <f>D21-'[1]Média das Despesas Àgua e Luz'!I13</f>
        <v>230000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f>'[1]ROMARIA TRINDADE'!C7</f>
        <v>0</v>
      </c>
      <c r="M21" s="131">
        <f>'[1]ROMARIA TRINDADE'!D7</f>
        <v>0</v>
      </c>
      <c r="N21" s="131">
        <f>'[1]ROMARIA TRINDADE'!E7</f>
        <v>0</v>
      </c>
      <c r="O21" s="131">
        <f>'[1]ROMARIA TRINDADE'!F7</f>
        <v>0</v>
      </c>
      <c r="P21" s="131">
        <f>'[1]ROMARIA TRINDADE'!G7</f>
        <v>230000</v>
      </c>
      <c r="Q21" s="131">
        <f>'[1]ROMARIA TRINDADE'!H7</f>
        <v>0</v>
      </c>
      <c r="R21" s="4">
        <f t="shared" si="3"/>
        <v>230000</v>
      </c>
      <c r="S21" s="110">
        <f t="shared" si="4"/>
        <v>0</v>
      </c>
    </row>
    <row r="22" spans="1:152" s="134" customFormat="1" ht="29.25" customHeight="1" thickBot="1" thickTop="1">
      <c r="A22" s="126" t="s">
        <v>95</v>
      </c>
      <c r="B22" s="127">
        <f>28560+20668+262</f>
        <v>49490</v>
      </c>
      <c r="C22" s="127">
        <v>120000</v>
      </c>
      <c r="D22" s="128">
        <f>'[1]RESTAURANTE DESPESAS OPERACIONA'!B6</f>
        <v>122635.58600000002</v>
      </c>
      <c r="E22" s="124">
        <f>D22-'[1]Média das Despesas Àgua e Luz'!I14</f>
        <v>122635.58600000002</v>
      </c>
      <c r="F22" s="129">
        <f>'[1]RESTAURANTE DESPESAS OPERACIONA'!C6</f>
        <v>10905.9655</v>
      </c>
      <c r="G22" s="129">
        <f>'[1]RESTAURANTE DESPESAS OPERACIONA'!D6</f>
        <v>10185.9655</v>
      </c>
      <c r="H22" s="129">
        <f>'[1]RESTAURANTE DESPESAS OPERACIONA'!E6</f>
        <v>8385.9655</v>
      </c>
      <c r="I22" s="129">
        <f>'[1]RESTAURANTE DESPESAS OPERACIONA'!F6</f>
        <v>9105.9655</v>
      </c>
      <c r="J22" s="129">
        <f>'[1]RESTAURANTE DESPESAS OPERACIONA'!G6</f>
        <v>15247.9655</v>
      </c>
      <c r="K22" s="129">
        <f>'[1]RESTAURANTE DESPESAS OPERACIONA'!H6</f>
        <v>8385.9655</v>
      </c>
      <c r="L22" s="129">
        <f>'[1]RESTAURANTE DESPESAS OPERACIONA'!I6</f>
        <v>10545.9655</v>
      </c>
      <c r="M22" s="129">
        <f>'[1]RESTAURANTE DESPESAS OPERACIONA'!J6</f>
        <v>10905.9655</v>
      </c>
      <c r="N22" s="129">
        <f>'[1]RESTAURANTE DESPESAS OPERACIONA'!K6</f>
        <v>8385.9655</v>
      </c>
      <c r="O22" s="129">
        <f>'[1]RESTAURANTE DESPESAS OPERACIONA'!L6</f>
        <v>8745.9655</v>
      </c>
      <c r="P22" s="129">
        <f>'[1]RESTAURANTE DESPESAS OPERACIONA'!M6</f>
        <v>14167.9655</v>
      </c>
      <c r="Q22" s="129">
        <f>'[1]RESTAURANTE DESPESAS OPERACIONA'!N6</f>
        <v>7665.9655</v>
      </c>
      <c r="R22" s="4">
        <f t="shared" si="3"/>
        <v>122635.58600000002</v>
      </c>
      <c r="S22" s="110">
        <f t="shared" si="4"/>
        <v>0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</row>
    <row r="23" spans="1:19" ht="29.25" customHeight="1" thickBot="1" thickTop="1">
      <c r="A23" s="126" t="s">
        <v>96</v>
      </c>
      <c r="B23" s="127">
        <f>2873528+2694981+2347566+1181090+1088481+833736+771876+1037922+759937+645224+1320446+526564+980623+439104</f>
        <v>17501078</v>
      </c>
      <c r="C23" s="127">
        <f>19590610.69-(120000+712144.68)</f>
        <v>18758466.01</v>
      </c>
      <c r="D23" s="128">
        <f>'[1]RESTAURANTE DESPESAS OPERACIONA'!B7</f>
        <v>18184459.848080263</v>
      </c>
      <c r="E23" s="124">
        <f>D23-'[1]Média das Despesas Àgua e Luz'!I15</f>
        <v>18184459.848080263</v>
      </c>
      <c r="F23" s="129">
        <f>'[1]RESTAURANTE DESPESAS OPERACIONA'!C7</f>
        <v>1497790.4354545455</v>
      </c>
      <c r="G23" s="129">
        <f>'[1]RESTAURANTE DESPESAS OPERACIONA'!D7</f>
        <v>1531624.179525692</v>
      </c>
      <c r="H23" s="129">
        <f>'[1]RESTAURANTE DESPESAS OPERACIONA'!E7</f>
        <v>1482852.754853801</v>
      </c>
      <c r="I23" s="129">
        <f>'[1]RESTAURANTE DESPESAS OPERACIONA'!F7</f>
        <v>1565137.8009090913</v>
      </c>
      <c r="J23" s="129">
        <f>'[1]RESTAURANTE DESPESAS OPERACIONA'!G7</f>
        <v>1358040.0358479533</v>
      </c>
      <c r="K23" s="129">
        <f>'[1]RESTAURANTE DESPESAS OPERACIONA'!H7</f>
        <v>1302733.0323333333</v>
      </c>
      <c r="L23" s="129">
        <f>'[1]RESTAURANTE DESPESAS OPERACIONA'!I7</f>
        <v>1611807.597727273</v>
      </c>
      <c r="M23" s="129">
        <f>'[1]RESTAURANTE DESPESAS OPERACIONA'!J7</f>
        <v>1442547.8933333333</v>
      </c>
      <c r="N23" s="129">
        <f>'[1]RESTAURANTE DESPESAS OPERACIONA'!K7</f>
        <v>1699495.338095238</v>
      </c>
      <c r="O23" s="129">
        <f>'[1]RESTAURANTE DESPESAS OPERACIONA'!L7</f>
        <v>1549497.1333333333</v>
      </c>
      <c r="P23" s="129">
        <f>'[1]RESTAURANTE DESPESAS OPERACIONA'!M7</f>
        <v>1544636.1466666665</v>
      </c>
      <c r="Q23" s="129">
        <f>'[1]RESTAURANTE DESPESAS OPERACIONA'!N7</f>
        <v>1598297.5</v>
      </c>
      <c r="R23" s="4">
        <f t="shared" si="3"/>
        <v>18184459.848080263</v>
      </c>
      <c r="S23" s="110">
        <f t="shared" si="4"/>
        <v>0</v>
      </c>
    </row>
    <row r="24" spans="1:19" ht="29.25" customHeight="1" thickBot="1" thickTop="1">
      <c r="A24" s="126" t="s">
        <v>97</v>
      </c>
      <c r="B24" s="127"/>
      <c r="C24" s="127">
        <v>712144.68</v>
      </c>
      <c r="D24" s="128">
        <f>'[1]RESTAURANTE DESPESAS OPERACIONA'!B8</f>
        <v>569441.662</v>
      </c>
      <c r="E24" s="124">
        <f>D24-'[1]Média das Despesas Àgua e Luz'!I16</f>
        <v>569441.662</v>
      </c>
      <c r="F24" s="129">
        <f>'[1]RESTAURANTE DESPESAS OPERACIONA'!C8</f>
        <v>57340.19</v>
      </c>
      <c r="G24" s="129">
        <f>'[1]RESTAURANTE DESPESAS OPERACIONA'!D8</f>
        <v>45286.072</v>
      </c>
      <c r="H24" s="129">
        <f>'[1]RESTAURANTE DESPESAS OPERACIONA'!E8</f>
        <v>45286.072</v>
      </c>
      <c r="I24" s="129">
        <f>'[1]RESTAURANTE DESPESAS OPERACIONA'!F8</f>
        <v>46836.592000000004</v>
      </c>
      <c r="J24" s="129">
        <f>'[1]RESTAURANTE DESPESAS OPERACIONA'!G8</f>
        <v>46836.592000000004</v>
      </c>
      <c r="K24" s="129">
        <f>'[1]RESTAURANTE DESPESAS OPERACIONA'!H8</f>
        <v>46836.592000000004</v>
      </c>
      <c r="L24" s="129">
        <f>'[1]RESTAURANTE DESPESAS OPERACIONA'!I8</f>
        <v>46836.592000000004</v>
      </c>
      <c r="M24" s="129">
        <f>'[1]RESTAURANTE DESPESAS OPERACIONA'!J8</f>
        <v>46836.592000000004</v>
      </c>
      <c r="N24" s="129">
        <f>'[1]RESTAURANTE DESPESAS OPERACIONA'!K8</f>
        <v>46836.592000000004</v>
      </c>
      <c r="O24" s="129">
        <f>'[1]RESTAURANTE DESPESAS OPERACIONA'!L8</f>
        <v>46836.592000000004</v>
      </c>
      <c r="P24" s="129">
        <f>'[1]RESTAURANTE DESPESAS OPERACIONA'!M8</f>
        <v>46836.592000000004</v>
      </c>
      <c r="Q24" s="129">
        <f>'[1]RESTAURANTE DESPESAS OPERACIONA'!N8</f>
        <v>46836.592000000004</v>
      </c>
      <c r="R24" s="4">
        <f t="shared" si="3"/>
        <v>569441.662</v>
      </c>
      <c r="S24" s="110">
        <f t="shared" si="4"/>
        <v>0</v>
      </c>
    </row>
    <row r="25" spans="1:19" ht="33.75" customHeight="1" thickBot="1" thickTop="1">
      <c r="A25" s="126" t="s">
        <v>98</v>
      </c>
      <c r="B25" s="127">
        <v>0</v>
      </c>
      <c r="C25" s="127">
        <v>0</v>
      </c>
      <c r="D25" s="128">
        <f>'[1]RESTAURANTE DESPESAS OPERACIONA'!B9</f>
        <v>324000</v>
      </c>
      <c r="E25" s="124">
        <f>D25-'[1]Média das Despesas Àgua e Luz'!I17</f>
        <v>324000</v>
      </c>
      <c r="F25" s="129">
        <f>'[1]RESTAURANTE DESPESAS OPERACIONA'!C9</f>
        <v>51000</v>
      </c>
      <c r="G25" s="129">
        <f>'[1]RESTAURANTE DESPESAS OPERACIONA'!D9</f>
        <v>51000</v>
      </c>
      <c r="H25" s="129">
        <f>'[1]RESTAURANTE DESPESAS OPERACIONA'!E9</f>
        <v>51000</v>
      </c>
      <c r="I25" s="129">
        <f>'[1]RESTAURANTE DESPESAS OPERACIONA'!F9</f>
        <v>51000</v>
      </c>
      <c r="J25" s="129">
        <f>'[1]RESTAURANTE DESPESAS OPERACIONA'!G9</f>
        <v>51000</v>
      </c>
      <c r="K25" s="129">
        <f>'[1]RESTAURANTE DESPESAS OPERACIONA'!H9</f>
        <v>51000</v>
      </c>
      <c r="L25" s="129">
        <f>'[1]RESTAURANTE DESPESAS OPERACIONA'!I9</f>
        <v>3000</v>
      </c>
      <c r="M25" s="129">
        <f>'[1]RESTAURANTE DESPESAS OPERACIONA'!J9</f>
        <v>3000</v>
      </c>
      <c r="N25" s="129">
        <f>'[1]RESTAURANTE DESPESAS OPERACIONA'!K9</f>
        <v>3000</v>
      </c>
      <c r="O25" s="129">
        <f>'[1]RESTAURANTE DESPESAS OPERACIONA'!L9</f>
        <v>3000</v>
      </c>
      <c r="P25" s="129">
        <f>'[1]RESTAURANTE DESPESAS OPERACIONA'!M9</f>
        <v>3000</v>
      </c>
      <c r="Q25" s="129">
        <f>'[1]RESTAURANTE DESPESAS OPERACIONA'!N9</f>
        <v>3000</v>
      </c>
      <c r="R25" s="4">
        <f t="shared" si="3"/>
        <v>324000</v>
      </c>
      <c r="S25" s="110">
        <f t="shared" si="4"/>
        <v>0</v>
      </c>
    </row>
    <row r="26" spans="1:152" s="134" customFormat="1" ht="24" customHeight="1" thickBot="1" thickTop="1">
      <c r="A26" s="126" t="s">
        <v>99</v>
      </c>
      <c r="B26" s="127">
        <v>1364615</v>
      </c>
      <c r="C26" s="127">
        <f>785173.6+785173.6</f>
        <v>1570347.2</v>
      </c>
      <c r="D26" s="128">
        <f>1038100.0028+70</f>
        <v>1038170.0028</v>
      </c>
      <c r="E26" s="124">
        <f>D26-'[1]Média das Despesas Àgua e Luz'!I18</f>
        <v>1038170.0028</v>
      </c>
      <c r="F26" s="129">
        <f>'[1]PBU DESPESAS OPERACIONAIS'!C6</f>
        <v>148600.0028</v>
      </c>
      <c r="G26" s="129">
        <f>'[1]PBU DESPESAS OPERACIONAIS'!D6</f>
        <v>68100</v>
      </c>
      <c r="H26" s="129">
        <f>'[1]PBU DESPESAS OPERACIONAIS'!E6</f>
        <v>122100</v>
      </c>
      <c r="I26" s="129">
        <f>'[1]PBU DESPESAS OPERACIONAIS'!F6</f>
        <v>42100</v>
      </c>
      <c r="J26" s="129">
        <f>'[1]PBU DESPESAS OPERACIONAIS'!G6</f>
        <v>122100</v>
      </c>
      <c r="K26" s="129">
        <f>'[1]PBU DESPESAS OPERACIONAIS'!H6</f>
        <v>42100</v>
      </c>
      <c r="L26" s="129">
        <f>'[1]PBU DESPESAS OPERACIONAIS'!I6</f>
        <v>122600</v>
      </c>
      <c r="M26" s="129">
        <f>'[1]PBU DESPESAS OPERACIONAIS'!J6</f>
        <v>42100</v>
      </c>
      <c r="N26" s="129">
        <f>'[1]PBU DESPESAS OPERACIONAIS'!K6</f>
        <v>122100</v>
      </c>
      <c r="O26" s="129">
        <f>'[1]PBU DESPESAS OPERACIONAIS'!L6</f>
        <v>42100</v>
      </c>
      <c r="P26" s="129">
        <f>'[1]PBU DESPESAS OPERACIONAIS'!M6</f>
        <v>122100</v>
      </c>
      <c r="Q26" s="129">
        <f>'[1]PBU DESPESAS OPERACIONAIS'!N6</f>
        <v>42100</v>
      </c>
      <c r="R26" s="4">
        <f t="shared" si="3"/>
        <v>1038200.0028</v>
      </c>
      <c r="S26" s="110">
        <f t="shared" si="4"/>
        <v>30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</row>
    <row r="27" spans="1:19" ht="24" customHeight="1" thickBot="1" thickTop="1">
      <c r="A27" s="126" t="s">
        <v>100</v>
      </c>
      <c r="B27" s="127">
        <v>109657141</v>
      </c>
      <c r="C27" s="127">
        <f>8373120+51309000+7953120+46164600</f>
        <v>113799840</v>
      </c>
      <c r="D27" s="128">
        <f>'[1]PBU DESPESAS OPERACIONAIS'!B7</f>
        <v>61064628</v>
      </c>
      <c r="E27" s="124">
        <f>D27-'[1]Média das Despesas Àgua e Luz'!I19</f>
        <v>61064628</v>
      </c>
      <c r="F27" s="129">
        <f>'[1]PBU DESPESAS OPERACIONAIS'!C7</f>
        <v>5926297</v>
      </c>
      <c r="G27" s="129">
        <f>'[1]PBU DESPESAS OPERACIONAIS'!D7</f>
        <v>5926298</v>
      </c>
      <c r="H27" s="129">
        <f>'[1]PBU DESPESAS OPERACIONAIS'!E7</f>
        <v>5926299</v>
      </c>
      <c r="I27" s="129">
        <f>'[1]PBU DESPESAS OPERACIONAIS'!F7</f>
        <v>5926300</v>
      </c>
      <c r="J27" s="129">
        <f>'[1]PBU DESPESAS OPERACIONAIS'!G7</f>
        <v>5926301</v>
      </c>
      <c r="K27" s="129">
        <f>'[1]PBU DESPESAS OPERACIONAIS'!H7</f>
        <v>5926302</v>
      </c>
      <c r="L27" s="129">
        <f>'[1]PBU DESPESAS OPERACIONAIS'!I7</f>
        <v>4251136</v>
      </c>
      <c r="M27" s="129">
        <f>'[1]PBU DESPESAS OPERACIONAIS'!J7</f>
        <v>4251137</v>
      </c>
      <c r="N27" s="129">
        <f>'[1]PBU DESPESAS OPERACIONAIS'!K7</f>
        <v>4251138</v>
      </c>
      <c r="O27" s="129">
        <f>'[1]PBU DESPESAS OPERACIONAIS'!L7</f>
        <v>4251139</v>
      </c>
      <c r="P27" s="129">
        <f>'[1]PBU DESPESAS OPERACIONAIS'!M7</f>
        <v>4251140</v>
      </c>
      <c r="Q27" s="129">
        <f>'[1]PBU DESPESAS OPERACIONAIS'!N7</f>
        <v>4251141</v>
      </c>
      <c r="R27" s="4">
        <f>SUM(F27:Q27)</f>
        <v>61064628</v>
      </c>
      <c r="S27" s="110">
        <f t="shared" si="4"/>
        <v>0</v>
      </c>
    </row>
    <row r="28" spans="1:19" ht="24.75" customHeight="1" thickBot="1" thickTop="1">
      <c r="A28" s="126" t="s">
        <v>101</v>
      </c>
      <c r="B28" s="127">
        <f>1150+50+942771+1677133+10060</f>
        <v>2631164</v>
      </c>
      <c r="C28" s="127">
        <f>3693074.02+500000</f>
        <v>4193074.02</v>
      </c>
      <c r="D28" s="128">
        <f>'[1]SEDE DESPESAS CORRENTES'!B6</f>
        <v>5626501.2871</v>
      </c>
      <c r="E28" s="124">
        <f>D28-'[1]Média das Despesas Àgua e Luz'!I20</f>
        <v>5451501.0721</v>
      </c>
      <c r="F28" s="129">
        <f>'[1]SEDE DESPESAS CORRENTES'!C6</f>
        <v>967116.9537166668</v>
      </c>
      <c r="G28" s="129">
        <f>'[1]SEDE DESPESAS CORRENTES'!D6</f>
        <v>494590.5557166666</v>
      </c>
      <c r="H28" s="129">
        <f>'[1]SEDE DESPESAS CORRENTES'!E6</f>
        <v>453581.5557166667</v>
      </c>
      <c r="I28" s="129">
        <f>'[1]SEDE DESPESAS CORRENTES'!F6</f>
        <v>393417.13571666664</v>
      </c>
      <c r="J28" s="129">
        <f>'[1]SEDE DESPESAS CORRENTES'!G6</f>
        <v>395350.0402166667</v>
      </c>
      <c r="K28" s="129">
        <f>'[1]SEDE DESPESAS CORRENTES'!H6</f>
        <v>382633.29621666664</v>
      </c>
      <c r="L28" s="129">
        <f>'[1]SEDE DESPESAS CORRENTES'!I6</f>
        <v>393637.79705</v>
      </c>
      <c r="M28" s="129">
        <f>'[1]SEDE DESPESAS CORRENTES'!J6</f>
        <v>383025.39255000005</v>
      </c>
      <c r="N28" s="129">
        <f>'[1]SEDE DESPESAS CORRENTES'!K6</f>
        <v>476895.39255000005</v>
      </c>
      <c r="O28" s="129">
        <f>'[1]SEDE DESPESAS CORRENTES'!L6</f>
        <v>474295.39255000005</v>
      </c>
      <c r="P28" s="129">
        <f>'[1]SEDE DESPESAS CORRENTES'!M6</f>
        <v>472995.39255000005</v>
      </c>
      <c r="Q28" s="129">
        <f>'[1]SEDE DESPESAS CORRENTES'!N6</f>
        <v>338962.38255000004</v>
      </c>
      <c r="R28" s="4">
        <f t="shared" si="3"/>
        <v>5626501.2871</v>
      </c>
      <c r="S28" s="110">
        <f t="shared" si="4"/>
        <v>0</v>
      </c>
    </row>
    <row r="29" spans="1:152" s="134" customFormat="1" ht="27.75" customHeight="1" thickTop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</row>
    <row r="30" spans="1:152" s="134" customFormat="1" ht="29.25" customHeight="1">
      <c r="A30"/>
      <c r="B30"/>
      <c r="C30"/>
      <c r="D30" s="11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</row>
    <row r="31" ht="15.75" customHeight="1">
      <c r="D31" s="4"/>
    </row>
    <row r="32" spans="1:152" s="134" customFormat="1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</row>
    <row r="33" spans="1:152" s="134" customFormat="1" ht="27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</row>
    <row r="34" spans="1:152" s="134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</row>
    <row r="35" spans="1:152" s="134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</row>
    <row r="36" spans="1:152" s="134" customFormat="1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</row>
    <row r="37" ht="15.75" customHeight="1"/>
    <row r="38" spans="1:152" s="134" customFormat="1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</row>
    <row r="39" spans="1:152" s="134" customFormat="1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</row>
    <row r="40" spans="1:152" s="134" customFormat="1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</row>
    <row r="41" spans="1:152" s="134" customFormat="1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</row>
    <row r="42" spans="1:152" s="134" customFormat="1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52" s="134" customFormat="1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ht="15.75" customHeight="1"/>
    <row r="45" spans="1:152" s="134" customFormat="1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s="134" customFormat="1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s="134" customFormat="1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s="134" customFormat="1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ht="15.75" customHeight="1"/>
    <row r="50" spans="1:18" s="134" customFormat="1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134" customFormat="1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s="134" customFormat="1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s="134" customFormat="1" ht="15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s="134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ht="15.75" customHeight="1"/>
    <row r="56" spans="1:18" s="134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s="134" customFormat="1" ht="15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s="134" customFormat="1" ht="16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ht="15.75" customHeight="1"/>
    <row r="60" spans="1:152" s="134" customFormat="1" ht="15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s="134" customFormat="1" ht="15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</row>
    <row r="62" spans="1:152" s="134" customFormat="1" ht="15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1:152" s="134" customFormat="1" ht="15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1:152" s="134" customFormat="1" ht="15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</row>
    <row r="65" spans="1:152" s="134" customFormat="1" ht="15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ht="15.75" customHeight="1"/>
    <row r="67" spans="1:152" s="134" customFormat="1" ht="29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1:152" s="134" customFormat="1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1:152" s="134" customFormat="1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  <row r="70" spans="1:152" s="134" customFormat="1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</row>
    <row r="71" spans="1:152" s="13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</row>
    <row r="72" spans="1:152" s="13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</row>
    <row r="73" ht="15.75" customHeight="1"/>
    <row r="74" spans="1:152" s="13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</row>
    <row r="75" spans="1:152" s="13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</row>
    <row r="76" spans="1:152" s="13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</row>
    <row r="77" ht="15.75" customHeight="1"/>
    <row r="78" spans="1:152" s="134" customFormat="1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</row>
    <row r="79" spans="1:152" s="13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</row>
    <row r="80" spans="1:152" s="13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</row>
    <row r="81" ht="15.75" customHeight="1"/>
    <row r="82" spans="1:152" s="134" customFormat="1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</row>
    <row r="83" spans="1:152" s="134" customFormat="1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</row>
    <row r="84" spans="1:152" s="134" customFormat="1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</row>
    <row r="85" ht="15.75" customHeight="1"/>
    <row r="86" spans="1:152" s="13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</row>
    <row r="87" spans="1:152" s="134" customFormat="1" ht="15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</row>
    <row r="88" spans="1:152" s="134" customFormat="1" ht="15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</row>
    <row r="89" ht="15.75" customHeight="1"/>
    <row r="90" spans="1:18" s="134" customFormat="1" ht="15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13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13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ht="15.75" customHeight="1"/>
    <row r="94" spans="1:152" s="134" customFormat="1" ht="15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</row>
    <row r="95" spans="1:152" s="134" customFormat="1" ht="15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</row>
    <row r="96" spans="1:152" s="134" customFormat="1" ht="15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</row>
    <row r="97" spans="1:152" s="13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</row>
    <row r="98" spans="1:152" s="134" customFormat="1" ht="26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</row>
    <row r="99" ht="15.75" customHeight="1"/>
    <row r="100" spans="1:152" s="134" customFormat="1" ht="15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</row>
    <row r="101" spans="1:152" s="134" customFormat="1" ht="15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</row>
    <row r="102" spans="1:152" s="134" customFormat="1" ht="15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</row>
    <row r="103" spans="1:152" s="13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</row>
    <row r="104" ht="15.75" customHeight="1"/>
    <row r="105" spans="1:152" s="13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</row>
    <row r="106" spans="1:152" s="13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</row>
    <row r="107" spans="1:152" s="134" customFormat="1" ht="15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</row>
    <row r="108" spans="1:152" s="134" customFormat="1" ht="15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</row>
    <row r="109" spans="1:152" s="13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</row>
    <row r="110" spans="1:152" s="13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</row>
    <row r="111" spans="1:152" s="13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</row>
    <row r="112" spans="1:152" s="13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</row>
    <row r="113" ht="15.75" customHeight="1"/>
    <row r="114" spans="1:152" s="134" customFormat="1" ht="1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</row>
    <row r="115" spans="1:152" s="134" customFormat="1" ht="15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</row>
    <row r="116" ht="15.75" customHeight="1"/>
    <row r="117" spans="1:152" s="134" customFormat="1" ht="15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</row>
    <row r="118" spans="1:152" s="134" customFormat="1" ht="15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</row>
    <row r="119" ht="15.75" customHeight="1"/>
    <row r="120" spans="1:18" s="134" customFormat="1" ht="15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s="134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52" s="135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4"/>
      <c r="DA122" s="134"/>
      <c r="DB122" s="134"/>
      <c r="DC122" s="134"/>
      <c r="DD122" s="134"/>
      <c r="DE122" s="134"/>
      <c r="DF122" s="134"/>
      <c r="DG122" s="134"/>
      <c r="DH122" s="134"/>
      <c r="DI122" s="134"/>
      <c r="DJ122" s="134"/>
      <c r="DK122" s="134"/>
      <c r="DL122" s="134"/>
      <c r="DM122" s="134"/>
      <c r="DN122" s="134"/>
      <c r="DO122" s="134"/>
      <c r="DP122" s="134"/>
      <c r="DQ122" s="134"/>
      <c r="DR122" s="134"/>
      <c r="DS122" s="134"/>
      <c r="DT122" s="134"/>
      <c r="DU122" s="134"/>
      <c r="DV122" s="134"/>
      <c r="DW122" s="134"/>
      <c r="DX122" s="134"/>
      <c r="DY122" s="134"/>
      <c r="DZ122" s="134"/>
      <c r="EA122" s="134"/>
      <c r="EB122" s="134"/>
      <c r="EC122" s="134"/>
      <c r="ED122" s="134"/>
      <c r="EE122" s="134"/>
      <c r="EF122" s="134"/>
      <c r="EG122" s="134"/>
      <c r="EH122" s="134"/>
      <c r="EI122" s="134"/>
      <c r="EJ122" s="134"/>
      <c r="EK122" s="134"/>
      <c r="EL122" s="134"/>
      <c r="EM122" s="134"/>
      <c r="EN122" s="134"/>
      <c r="EO122" s="134"/>
      <c r="EP122" s="134"/>
      <c r="EQ122" s="134"/>
      <c r="ER122" s="134"/>
      <c r="ES122" s="134"/>
      <c r="ET122" s="134"/>
      <c r="EU122" s="134"/>
      <c r="EV122" s="134"/>
    </row>
    <row r="123" spans="1:18" s="134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s="134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</sheetData>
  <sheetProtection/>
  <mergeCells count="17">
    <mergeCell ref="L3:L4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  <mergeCell ref="Q3:Q4"/>
    <mergeCell ref="G3:G4"/>
    <mergeCell ref="H3:H4"/>
    <mergeCell ref="I3:I4"/>
    <mergeCell ref="J3:J4"/>
    <mergeCell ref="K3:K4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D1"/>
    </sheetView>
  </sheetViews>
  <sheetFormatPr defaultColWidth="9.140625" defaultRowHeight="15"/>
  <cols>
    <col min="1" max="1" width="67.7109375" style="0" customWidth="1"/>
    <col min="2" max="2" width="18.28125" style="0" hidden="1" customWidth="1"/>
    <col min="3" max="3" width="16.28125" style="0" hidden="1" customWidth="1"/>
    <col min="4" max="4" width="16.28125" style="0" bestFit="1" customWidth="1"/>
    <col min="5" max="11" width="15.28125" style="0" bestFit="1" customWidth="1"/>
    <col min="12" max="12" width="17.00390625" style="0" customWidth="1"/>
    <col min="13" max="13" width="15.28125" style="0" bestFit="1" customWidth="1"/>
    <col min="14" max="14" width="15.28125" style="0" customWidth="1"/>
    <col min="15" max="16" width="15.28125" style="0" bestFit="1" customWidth="1"/>
  </cols>
  <sheetData>
    <row r="1" spans="2:5" ht="27.75" customHeight="1" thickBot="1">
      <c r="B1" s="299" t="s">
        <v>27</v>
      </c>
      <c r="C1" s="299"/>
      <c r="D1" s="299"/>
      <c r="E1">
        <f>100-76</f>
        <v>24</v>
      </c>
    </row>
    <row r="2" spans="1:16" ht="20.25" customHeight="1" thickBot="1" thickTop="1">
      <c r="A2" s="293" t="s">
        <v>74</v>
      </c>
      <c r="B2" s="294" t="s">
        <v>75</v>
      </c>
      <c r="C2" s="294" t="s">
        <v>76</v>
      </c>
      <c r="D2" s="296" t="s">
        <v>102</v>
      </c>
      <c r="E2" s="292" t="s">
        <v>24</v>
      </c>
      <c r="F2" s="292" t="s">
        <v>25</v>
      </c>
      <c r="G2" s="292" t="s">
        <v>26</v>
      </c>
      <c r="H2" s="292" t="s">
        <v>32</v>
      </c>
      <c r="I2" s="292" t="s">
        <v>33</v>
      </c>
      <c r="J2" s="292" t="s">
        <v>34</v>
      </c>
      <c r="K2" s="292" t="s">
        <v>35</v>
      </c>
      <c r="L2" s="292" t="s">
        <v>36</v>
      </c>
      <c r="M2" s="292" t="s">
        <v>37</v>
      </c>
      <c r="N2" s="292" t="s">
        <v>38</v>
      </c>
      <c r="O2" s="292" t="s">
        <v>39</v>
      </c>
      <c r="P2" s="292" t="s">
        <v>40</v>
      </c>
    </row>
    <row r="3" spans="1:16" ht="20.25" customHeight="1" thickBot="1" thickTop="1">
      <c r="A3" s="293"/>
      <c r="B3" s="295"/>
      <c r="C3" s="295"/>
      <c r="D3" s="296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</row>
    <row r="4" spans="1:16" ht="45.75" customHeight="1" thickBot="1" thickTop="1">
      <c r="A4" s="115" t="s">
        <v>79</v>
      </c>
      <c r="B4" s="116">
        <f>B5+B6+B7</f>
        <v>29609254</v>
      </c>
      <c r="C4" s="116">
        <f>C5+C6+C7</f>
        <v>41547244.98</v>
      </c>
      <c r="D4" s="116">
        <f>D5+D6+D7</f>
        <v>42067632.617999524</v>
      </c>
      <c r="E4" s="116">
        <f aca="true" t="shared" si="0" ref="E4:P4">E5+E6+E7</f>
        <v>3459165.790354749</v>
      </c>
      <c r="F4" s="116">
        <f t="shared" si="0"/>
        <v>3500753.208354749</v>
      </c>
      <c r="G4" s="116">
        <f t="shared" si="0"/>
        <v>3460386.2440547487</v>
      </c>
      <c r="H4" s="116">
        <f t="shared" si="0"/>
        <v>3457876.798054749</v>
      </c>
      <c r="I4" s="116">
        <f t="shared" si="0"/>
        <v>3457876.798054749</v>
      </c>
      <c r="J4" s="116">
        <f t="shared" si="0"/>
        <v>3528534.0654547485</v>
      </c>
      <c r="K4" s="116">
        <f t="shared" si="0"/>
        <v>3462348.2174873753</v>
      </c>
      <c r="L4" s="116">
        <f t="shared" si="0"/>
        <v>3459490.624487376</v>
      </c>
      <c r="M4" s="116">
        <f t="shared" si="0"/>
        <v>3544007.561748072</v>
      </c>
      <c r="N4" s="116">
        <f t="shared" si="0"/>
        <v>3545731.1033160724</v>
      </c>
      <c r="O4" s="116">
        <f t="shared" si="0"/>
        <v>3545731.1033160724</v>
      </c>
      <c r="P4" s="116">
        <f t="shared" si="0"/>
        <v>3645731.1033160724</v>
      </c>
    </row>
    <row r="5" spans="1:16" ht="45.75" customHeight="1" thickBot="1">
      <c r="A5" s="118" t="s">
        <v>81</v>
      </c>
      <c r="B5" s="119">
        <f>B8+B9+B10+B11+B22+B12+B13+B14+B15+B16+B17+B18+B19</f>
        <v>25981944</v>
      </c>
      <c r="C5" s="119">
        <f>C8+C9+C10+C11+C22+C12+C13+C14+C15+C16+C17+C18+C19</f>
        <v>36602002.15</v>
      </c>
      <c r="D5" s="119">
        <f>D8+D9+D10+D11+D22+D12+D13+D14+D15+D16+D17+D18+D19</f>
        <v>36425255.6946075</v>
      </c>
      <c r="E5" s="119">
        <f aca="true" t="shared" si="1" ref="E5:P5">E8+E9+E10+E11+E22+E12+E13+E14+E15+E16+E17+E18+E19</f>
        <v>2992739.360401972</v>
      </c>
      <c r="F5" s="119">
        <f t="shared" si="1"/>
        <v>3034326.778401972</v>
      </c>
      <c r="G5" s="119">
        <f t="shared" si="1"/>
        <v>2993959.814101972</v>
      </c>
      <c r="H5" s="119">
        <f t="shared" si="1"/>
        <v>2991450.368101972</v>
      </c>
      <c r="I5" s="119">
        <f t="shared" si="1"/>
        <v>2991450.368101972</v>
      </c>
      <c r="J5" s="119">
        <f t="shared" si="1"/>
        <v>3062107.635501972</v>
      </c>
      <c r="K5" s="119">
        <f t="shared" si="1"/>
        <v>2995921.7875345987</v>
      </c>
      <c r="L5" s="119">
        <f t="shared" si="1"/>
        <v>2993064.194534599</v>
      </c>
      <c r="M5" s="119">
        <f t="shared" si="1"/>
        <v>3066342.54013962</v>
      </c>
      <c r="N5" s="119">
        <f t="shared" si="1"/>
        <v>3067964.2825956205</v>
      </c>
      <c r="O5" s="119">
        <f t="shared" si="1"/>
        <v>3067964.2825956205</v>
      </c>
      <c r="P5" s="119">
        <f t="shared" si="1"/>
        <v>3167964.2825956205</v>
      </c>
    </row>
    <row r="6" spans="1:16" ht="45.75" customHeight="1" thickBot="1">
      <c r="A6" s="118" t="s">
        <v>82</v>
      </c>
      <c r="B6" s="119">
        <f>B21</f>
        <v>2695898</v>
      </c>
      <c r="C6" s="119">
        <f>C21</f>
        <v>3848528.51</v>
      </c>
      <c r="D6" s="119">
        <f>D21</f>
        <v>4419376.342727917</v>
      </c>
      <c r="E6" s="119">
        <f aca="true" t="shared" si="2" ref="E6:P6">E21</f>
        <v>365420.15101274586</v>
      </c>
      <c r="F6" s="119">
        <f t="shared" si="2"/>
        <v>365420.15101274586</v>
      </c>
      <c r="G6" s="119">
        <f t="shared" si="2"/>
        <v>365420.15101274586</v>
      </c>
      <c r="H6" s="119">
        <f t="shared" si="2"/>
        <v>365420.15101274586</v>
      </c>
      <c r="I6" s="119">
        <f t="shared" si="2"/>
        <v>365420.15101274586</v>
      </c>
      <c r="J6" s="119">
        <f t="shared" si="2"/>
        <v>365420.15101274586</v>
      </c>
      <c r="K6" s="119">
        <f t="shared" si="2"/>
        <v>365420.15101274586</v>
      </c>
      <c r="L6" s="119">
        <f t="shared" si="2"/>
        <v>365420.15101274586</v>
      </c>
      <c r="M6" s="119">
        <f t="shared" si="2"/>
        <v>373932.3071684875</v>
      </c>
      <c r="N6" s="119">
        <f t="shared" si="2"/>
        <v>374027.6091524875</v>
      </c>
      <c r="O6" s="119">
        <f t="shared" si="2"/>
        <v>374027.6091524875</v>
      </c>
      <c r="P6" s="119">
        <f t="shared" si="2"/>
        <v>374027.6091524875</v>
      </c>
    </row>
    <row r="7" spans="1:16" ht="45.75" customHeight="1" thickBot="1">
      <c r="A7" s="118" t="s">
        <v>83</v>
      </c>
      <c r="B7" s="119">
        <f>B20</f>
        <v>931412</v>
      </c>
      <c r="C7" s="119">
        <f>C20</f>
        <v>1096714.32</v>
      </c>
      <c r="D7" s="119">
        <f>D20</f>
        <v>1223000.580664106</v>
      </c>
      <c r="E7" s="119">
        <f aca="true" t="shared" si="3" ref="E7:P7">E20</f>
        <v>101006.27894003107</v>
      </c>
      <c r="F7" s="119">
        <f t="shared" si="3"/>
        <v>101006.27894003107</v>
      </c>
      <c r="G7" s="119">
        <f t="shared" si="3"/>
        <v>101006.27894003107</v>
      </c>
      <c r="H7" s="119">
        <f t="shared" si="3"/>
        <v>101006.27894003107</v>
      </c>
      <c r="I7" s="119">
        <f t="shared" si="3"/>
        <v>101006.27894003107</v>
      </c>
      <c r="J7" s="119">
        <f t="shared" si="3"/>
        <v>101006.27894003107</v>
      </c>
      <c r="K7" s="119">
        <f t="shared" si="3"/>
        <v>101006.27894003107</v>
      </c>
      <c r="L7" s="119">
        <f t="shared" si="3"/>
        <v>101006.27894003107</v>
      </c>
      <c r="M7" s="119">
        <f t="shared" si="3"/>
        <v>103732.7144399643</v>
      </c>
      <c r="N7" s="119">
        <f t="shared" si="3"/>
        <v>103739.21156796429</v>
      </c>
      <c r="O7" s="119">
        <f t="shared" si="3"/>
        <v>103739.21156796429</v>
      </c>
      <c r="P7" s="119">
        <f t="shared" si="3"/>
        <v>103739.21156796429</v>
      </c>
    </row>
    <row r="8" spans="1:16" ht="33" customHeight="1" thickBot="1">
      <c r="A8" s="122" t="s">
        <v>84</v>
      </c>
      <c r="B8" s="123">
        <f>680814+2865034</f>
        <v>3545848</v>
      </c>
      <c r="C8" s="123">
        <v>4213231.17</v>
      </c>
      <c r="D8" s="124">
        <f>'[1]PESSOAL ROGÉRIO'!AD152</f>
        <v>5380214.347206575</v>
      </c>
      <c r="E8" s="124">
        <f>'[1]CGSF PESSOAL E ENCARGOS'!C5</f>
        <v>443520.81776560197</v>
      </c>
      <c r="F8" s="124">
        <f>'[1]CGSF PESSOAL E ENCARGOS'!D5</f>
        <v>443520.81776560197</v>
      </c>
      <c r="G8" s="124">
        <f>'[1]CGSF PESSOAL E ENCARGOS'!E5</f>
        <v>443520.81776560197</v>
      </c>
      <c r="H8" s="124">
        <f>'[1]CGSF PESSOAL E ENCARGOS'!F5</f>
        <v>443520.81776560197</v>
      </c>
      <c r="I8" s="124">
        <f>'[1]CGSF PESSOAL E ENCARGOS'!G5</f>
        <v>443520.81776560197</v>
      </c>
      <c r="J8" s="124">
        <f>'[1]CGSF PESSOAL E ENCARGOS'!H5</f>
        <v>444199.25496560195</v>
      </c>
      <c r="K8" s="124">
        <f>'[1]CGSF PESSOAL E ENCARGOS'!I5</f>
        <v>444516.18124076445</v>
      </c>
      <c r="L8" s="124">
        <f>'[1]CGSF PESSOAL E ENCARGOS'!J5</f>
        <v>444516.18124076445</v>
      </c>
      <c r="M8" s="124">
        <f>'[1]CGSF PESSOAL E ENCARGOS'!K5</f>
        <v>457120.81292285863</v>
      </c>
      <c r="N8" s="124">
        <f>'[1]CGSF PESSOAL E ENCARGOS'!L5</f>
        <v>457419.27600285853</v>
      </c>
      <c r="O8" s="124">
        <f>'[1]CGSF PESSOAL E ENCARGOS'!M5</f>
        <v>457419.27600285853</v>
      </c>
      <c r="P8" s="124">
        <f>'[1]CGSF PESSOAL E ENCARGOS'!N5</f>
        <v>457419.27600285853</v>
      </c>
    </row>
    <row r="9" spans="1:16" ht="33" customHeight="1" thickBot="1" thickTop="1">
      <c r="A9" s="126" t="s">
        <v>85</v>
      </c>
      <c r="B9" s="127">
        <f>589146+991644</f>
        <v>1580790</v>
      </c>
      <c r="C9" s="127">
        <v>1996044.74</v>
      </c>
      <c r="D9" s="128">
        <f>'[1]PESSOAL ROGÉRIO'!AD132</f>
        <v>2034287.2845974565</v>
      </c>
      <c r="E9" s="128">
        <f>'[1]CCIVV DEP PESSOAL '!C5</f>
        <v>167839.2032819301</v>
      </c>
      <c r="F9" s="128">
        <f>'[1]CCIVV DEP PESSOAL '!D5</f>
        <v>167839.2032819301</v>
      </c>
      <c r="G9" s="128">
        <f>'[1]CCIVV DEP PESSOAL '!E5</f>
        <v>167839.2032819301</v>
      </c>
      <c r="H9" s="128">
        <f>'[1]CCIVV DEP PESSOAL '!F5</f>
        <v>167839.2032819301</v>
      </c>
      <c r="I9" s="128">
        <f>'[1]CCIVV DEP PESSOAL '!G5</f>
        <v>167839.2032819301</v>
      </c>
      <c r="J9" s="128">
        <f>'[1]CCIVV DEP PESSOAL '!H5</f>
        <v>167839.2032819301</v>
      </c>
      <c r="K9" s="128">
        <f>'[1]CCIVV DEP PESSOAL '!I5</f>
        <v>168029.3469897824</v>
      </c>
      <c r="L9" s="128">
        <f>'[1]CCIVV DEP PESSOAL '!J5</f>
        <v>168029.3469897824</v>
      </c>
      <c r="M9" s="128">
        <f>'[1]CCIVV DEP PESSOAL '!K5</f>
        <v>172681.43745357776</v>
      </c>
      <c r="N9" s="128">
        <f>'[1]CCIVV DEP PESSOAL '!L5</f>
        <v>172837.3111575778</v>
      </c>
      <c r="O9" s="128">
        <f>'[1]CCIVV DEP PESSOAL '!M5</f>
        <v>172837.3111575778</v>
      </c>
      <c r="P9" s="128">
        <f>'[1]CCIVV DEP PESSOAL '!N5</f>
        <v>172837.3111575778</v>
      </c>
    </row>
    <row r="10" spans="1:16" ht="33" customHeight="1" thickBot="1" thickTop="1">
      <c r="A10" s="126" t="s">
        <v>86</v>
      </c>
      <c r="B10" s="127">
        <f>335218+734987</f>
        <v>1070205</v>
      </c>
      <c r="C10" s="127">
        <v>1288395.73</v>
      </c>
      <c r="D10" s="128">
        <f>'[1]PESSOAL ROGÉRIO'!AD111</f>
        <v>1281799.0862670415</v>
      </c>
      <c r="E10" s="128">
        <f>'[1]CCICM PESSOAL E ENCARGOS'!C5</f>
        <v>105744.3635796886</v>
      </c>
      <c r="F10" s="128">
        <f>'[1]CCICM PESSOAL E ENCARGOS'!D5</f>
        <v>105744.3635796886</v>
      </c>
      <c r="G10" s="128">
        <f>'[1]CCICM PESSOAL E ENCARGOS'!E5</f>
        <v>105744.3635796886</v>
      </c>
      <c r="H10" s="128">
        <f>'[1]CCICM PESSOAL E ENCARGOS'!F5</f>
        <v>105744.3635796886</v>
      </c>
      <c r="I10" s="128">
        <f>'[1]CCICM PESSOAL E ENCARGOS'!G5</f>
        <v>105744.3635796886</v>
      </c>
      <c r="J10" s="128">
        <f>'[1]CCICM PESSOAL E ENCARGOS'!H5</f>
        <v>105744.3635796886</v>
      </c>
      <c r="K10" s="128">
        <f>'[1]CCICM PESSOAL E ENCARGOS'!I5</f>
        <v>105744.3635796886</v>
      </c>
      <c r="L10" s="128">
        <f>'[1]CCICM PESSOAL E ENCARGOS'!J5</f>
        <v>105744.3635796886</v>
      </c>
      <c r="M10" s="128">
        <f>'[1]CCICM PESSOAL E ENCARGOS'!K5</f>
        <v>108925.25950138328</v>
      </c>
      <c r="N10" s="128">
        <f>'[1]CCICM PESSOAL E ENCARGOS'!L5</f>
        <v>108972.97270938328</v>
      </c>
      <c r="O10" s="128">
        <f>'[1]CCICM PESSOAL E ENCARGOS'!M5</f>
        <v>108972.97270938328</v>
      </c>
      <c r="P10" s="128">
        <f>'[1]CCICM PESSOAL E ENCARGOS'!N5</f>
        <v>108972.97270938328</v>
      </c>
    </row>
    <row r="11" spans="1:16" ht="33" customHeight="1" thickBot="1" thickTop="1">
      <c r="A11" s="126" t="s">
        <v>87</v>
      </c>
      <c r="B11" s="127">
        <f>352815+478585</f>
        <v>831400</v>
      </c>
      <c r="C11" s="127">
        <v>1054383.85</v>
      </c>
      <c r="D11" s="130">
        <f>'[1]PESSOAL ROGÉRIO'!AD90</f>
        <v>997372.6346479561</v>
      </c>
      <c r="E11" s="130">
        <f>'[1]CCINF PESSOAL E ENCARGOS'!C5</f>
        <v>82319.94246052271</v>
      </c>
      <c r="F11" s="130">
        <f>'[1]CCINF PESSOAL E ENCARGOS'!D5</f>
        <v>82319.94246052271</v>
      </c>
      <c r="G11" s="130">
        <f>'[1]CCINF PESSOAL E ENCARGOS'!E5</f>
        <v>82319.94246052271</v>
      </c>
      <c r="H11" s="130">
        <f>'[1]CCINF PESSOAL E ENCARGOS'!F5</f>
        <v>82319.94246052271</v>
      </c>
      <c r="I11" s="130">
        <f>'[1]CCINF PESSOAL E ENCARGOS'!G5</f>
        <v>82319.94246052271</v>
      </c>
      <c r="J11" s="130">
        <f>'[1]CCINF PESSOAL E ENCARGOS'!H5</f>
        <v>82319.94246052271</v>
      </c>
      <c r="K11" s="130">
        <f>'[1]CCINF PESSOAL E ENCARGOS'!I5</f>
        <v>82319.94246052271</v>
      </c>
      <c r="L11" s="130">
        <f>'[1]CCINF PESSOAL E ENCARGOS'!J5</f>
        <v>82319.94246052271</v>
      </c>
      <c r="M11" s="130">
        <f>'[1]CCINF PESSOAL E ENCARGOS'!K5</f>
        <v>84695.76237094362</v>
      </c>
      <c r="N11" s="130">
        <f>'[1]CCINF PESSOAL E ENCARGOS'!L5</f>
        <v>84705.77753094363</v>
      </c>
      <c r="O11" s="130">
        <f>'[1]CCINF PESSOAL E ENCARGOS'!M5</f>
        <v>84705.77753094363</v>
      </c>
      <c r="P11" s="130">
        <f>'[1]CCINF PESSOAL E ENCARGOS'!N5</f>
        <v>84705.77753094363</v>
      </c>
    </row>
    <row r="12" spans="1:16" ht="33" customHeight="1" thickBot="1" thickTop="1">
      <c r="A12" s="126" t="s">
        <v>88</v>
      </c>
      <c r="B12" s="127">
        <f>263591+511507</f>
        <v>775098</v>
      </c>
      <c r="C12" s="127">
        <v>984156.1</v>
      </c>
      <c r="D12" s="132">
        <f>'[1]PESSOAL ROGÉRIO'!AD70</f>
        <v>1158138.9626435505</v>
      </c>
      <c r="E12" s="132">
        <f>'[1]CCANM PESSOAL E ENCARGOS'!C5</f>
        <v>95589.5795664762</v>
      </c>
      <c r="F12" s="132">
        <f>'[1]CCANM PESSOAL E ENCARGOS'!D5</f>
        <v>95589.5795664762</v>
      </c>
      <c r="G12" s="132">
        <f>'[1]CCANM PESSOAL E ENCARGOS'!E5</f>
        <v>95589.5795664762</v>
      </c>
      <c r="H12" s="132">
        <f>'[1]CCANM PESSOAL E ENCARGOS'!F5</f>
        <v>95589.5795664762</v>
      </c>
      <c r="I12" s="132">
        <f>'[1]CCANM PESSOAL E ENCARGOS'!G5</f>
        <v>95589.5795664762</v>
      </c>
      <c r="J12" s="132">
        <f>'[1]CCANM PESSOAL E ENCARGOS'!H5</f>
        <v>95589.5795664762</v>
      </c>
      <c r="K12" s="132">
        <f>'[1]CCANM PESSOAL E ENCARGOS'!I5</f>
        <v>95589.5795664762</v>
      </c>
      <c r="L12" s="132">
        <f>'[1]CCANM PESSOAL E ENCARGOS'!J5</f>
        <v>95589.5795664762</v>
      </c>
      <c r="M12" s="132">
        <f>'[1]CCANM PESSOAL E ENCARGOS'!K5</f>
        <v>98268.21087193525</v>
      </c>
      <c r="N12" s="132">
        <f>'[1]CCANM PESSOAL E ENCARGOS'!L5</f>
        <v>98384.70507993526</v>
      </c>
      <c r="O12" s="132">
        <f>'[1]CCANM PESSOAL E ENCARGOS'!M5</f>
        <v>98384.70507993526</v>
      </c>
      <c r="P12" s="132">
        <f>'[1]CCANM PESSOAL E ENCARGOS'!N5</f>
        <v>98384.70507993526</v>
      </c>
    </row>
    <row r="13" spans="1:16" ht="33" customHeight="1" thickBot="1" thickTop="1">
      <c r="A13" s="126" t="s">
        <v>89</v>
      </c>
      <c r="B13" s="127">
        <f>194161+881267</f>
        <v>1075428</v>
      </c>
      <c r="C13" s="127">
        <v>1461313.32</v>
      </c>
      <c r="D13" s="132">
        <f>'[1]PESSOAL ROGÉRIO'!AD49</f>
        <v>1285672.6595456542</v>
      </c>
      <c r="E13" s="132">
        <f>'[1]CSDGB PESSOAL E ENCARGOS'!C5</f>
        <v>106268.71917519812</v>
      </c>
      <c r="F13" s="132">
        <f>'[1]CSDGB PESSOAL E ENCARGOS'!D5</f>
        <v>106268.71917519812</v>
      </c>
      <c r="G13" s="132">
        <f>'[1]CSDGB PESSOAL E ENCARGOS'!E5</f>
        <v>106268.71917519812</v>
      </c>
      <c r="H13" s="132">
        <f>'[1]CSDGB PESSOAL E ENCARGOS'!F5</f>
        <v>106268.71917519812</v>
      </c>
      <c r="I13" s="132">
        <f>'[1]CSDGB PESSOAL E ENCARGOS'!G5</f>
        <v>106268.71917519812</v>
      </c>
      <c r="J13" s="132">
        <f>'[1]CSDGB PESSOAL E ENCARGOS'!H5</f>
        <v>106268.71917519812</v>
      </c>
      <c r="K13" s="132">
        <f>'[1]CSDGB PESSOAL E ENCARGOS'!I5</f>
        <v>106363.1855286685</v>
      </c>
      <c r="L13" s="132">
        <f>'[1]CSDGB PESSOAL E ENCARGOS'!J5</f>
        <v>106363.1855286685</v>
      </c>
      <c r="M13" s="132">
        <f>'[1]CSDGB PESSOAL E ENCARGOS'!K5</f>
        <v>108809.77330728213</v>
      </c>
      <c r="N13" s="132">
        <f>'[1]CSDGB PESSOAL E ENCARGOS'!L5</f>
        <v>108841.40004328212</v>
      </c>
      <c r="O13" s="132">
        <f>'[1]CSDGB PESSOAL E ENCARGOS'!M5</f>
        <v>108841.40004328212</v>
      </c>
      <c r="P13" s="132">
        <f>'[1]CSDGB PESSOAL E ENCARGOS'!N5</f>
        <v>108841.40004328212</v>
      </c>
    </row>
    <row r="14" spans="1:16" ht="33" customHeight="1" thickBot="1" thickTop="1">
      <c r="A14" s="126" t="s">
        <v>49</v>
      </c>
      <c r="B14" s="127">
        <f>758924+1027547</f>
        <v>1786471</v>
      </c>
      <c r="C14" s="127">
        <v>2299875.16</v>
      </c>
      <c r="D14" s="132">
        <f>'[1]PESSOAL ROGÉRIO'!AD27</f>
        <v>2224730.2394742286</v>
      </c>
      <c r="E14" s="132">
        <f>'[1]CIGO PESSOAL E ENCARGOS'!C5</f>
        <v>183575.71837820119</v>
      </c>
      <c r="F14" s="132">
        <f>'[1]CIGO PESSOAL E ENCARGOS'!D5</f>
        <v>183575.71837820119</v>
      </c>
      <c r="G14" s="132">
        <f>'[1]CIGO PESSOAL E ENCARGOS'!E5</f>
        <v>183575.71837820119</v>
      </c>
      <c r="H14" s="132">
        <f>'[1]CIGO PESSOAL E ENCARGOS'!F5</f>
        <v>183575.71837820119</v>
      </c>
      <c r="I14" s="132">
        <f>'[1]CIGO PESSOAL E ENCARGOS'!G5</f>
        <v>183575.71837820119</v>
      </c>
      <c r="J14" s="132">
        <f>'[1]CIGO PESSOAL E ENCARGOS'!H5</f>
        <v>183575.71837820119</v>
      </c>
      <c r="K14" s="132">
        <f>'[1]CIGO PESSOAL E ENCARGOS'!I5</f>
        <v>183834.13130109472</v>
      </c>
      <c r="L14" s="132">
        <f>'[1]CIGO PESSOAL E ENCARGOS'!J5</f>
        <v>183834.13130109472</v>
      </c>
      <c r="M14" s="132">
        <f>'[1]CIGO PESSOAL E ENCARGOS'!K5</f>
        <v>188715.08139670797</v>
      </c>
      <c r="N14" s="132">
        <f>'[1]CIGO PESSOAL E ENCARGOS'!L5</f>
        <v>188964.19506870798</v>
      </c>
      <c r="O14" s="132">
        <f>'[1]CIGO PESSOAL E ENCARGOS'!M5</f>
        <v>188964.19506870798</v>
      </c>
      <c r="P14" s="132">
        <f>'[1]CIGO PESSOAL E ENCARGOS'!N5</f>
        <v>188964.19506870798</v>
      </c>
    </row>
    <row r="15" spans="1:16" ht="33" customHeight="1" thickBot="1" thickTop="1">
      <c r="A15" s="126" t="s">
        <v>90</v>
      </c>
      <c r="B15" s="127">
        <f>245713+317445</f>
        <v>563158</v>
      </c>
      <c r="C15" s="127">
        <v>671556.28</v>
      </c>
      <c r="D15" s="297">
        <f>'[1]PESSOAL ROGÉRIO'!AD212</f>
        <v>3353662.2934555886</v>
      </c>
      <c r="E15" s="297">
        <f>'[1]GASB PESSOAL E ENCARGOS'!C5</f>
        <v>276612.9728385744</v>
      </c>
      <c r="F15" s="297">
        <f>'[1]GASB PESSOAL E ENCARGOS'!D5</f>
        <v>280489.38313857437</v>
      </c>
      <c r="G15" s="297">
        <f>'[1]GASB PESSOAL E ENCARGOS'!E5</f>
        <v>276612.9728385744</v>
      </c>
      <c r="H15" s="297">
        <f>'[1]GASB PESSOAL E ENCARGOS'!F5</f>
        <v>276612.9728385744</v>
      </c>
      <c r="I15" s="297">
        <f>'[1]GASB PESSOAL E ENCARGOS'!G5</f>
        <v>276612.9728385744</v>
      </c>
      <c r="J15" s="297">
        <f>'[1]GASB PESSOAL E ENCARGOS'!H5</f>
        <v>276612.9728385744</v>
      </c>
      <c r="K15" s="297">
        <f>'[1]GASB PESSOAL E ENCARGOS'!I5</f>
        <v>276612.9728385744</v>
      </c>
      <c r="L15" s="297">
        <f>'[1]GASB PESSOAL E ENCARGOS'!J5</f>
        <v>276612.9728385744</v>
      </c>
      <c r="M15" s="297">
        <f>'[1]GASB PESSOAL E ENCARGOS'!K5</f>
        <v>283972.7795857484</v>
      </c>
      <c r="N15" s="297">
        <f>'[1]GASB PESSOAL E ENCARGOS'!L5</f>
        <v>284303.1069537484</v>
      </c>
      <c r="O15" s="297">
        <f>'[1]GASB PESSOAL E ENCARGOS'!M5</f>
        <v>284303.1069537484</v>
      </c>
      <c r="P15" s="297">
        <f>'[1]GASB PESSOAL E ENCARGOS'!N5</f>
        <v>284303.1069537484</v>
      </c>
    </row>
    <row r="16" spans="1:16" ht="33" customHeight="1" thickBot="1" thickTop="1">
      <c r="A16" s="126" t="s">
        <v>91</v>
      </c>
      <c r="B16" s="127">
        <f>852791+1595210</f>
        <v>2448001</v>
      </c>
      <c r="C16" s="127">
        <v>2973066.92</v>
      </c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</row>
    <row r="17" spans="1:16" ht="33" customHeight="1" thickBot="1" thickTop="1">
      <c r="A17" s="126" t="s">
        <v>92</v>
      </c>
      <c r="B17" s="127"/>
      <c r="C17" s="127"/>
      <c r="D17" s="128">
        <v>50000</v>
      </c>
      <c r="E17" s="128"/>
      <c r="F17" s="128"/>
      <c r="G17" s="128"/>
      <c r="H17" s="128"/>
      <c r="I17" s="128"/>
      <c r="J17" s="128">
        <v>50000</v>
      </c>
      <c r="K17" s="128"/>
      <c r="L17" s="128"/>
      <c r="M17" s="128"/>
      <c r="N17" s="128"/>
      <c r="O17" s="128"/>
      <c r="P17" s="128"/>
    </row>
    <row r="18" spans="1:16" ht="33" customHeight="1" thickBot="1" thickTop="1">
      <c r="A18" s="126" t="s">
        <v>93</v>
      </c>
      <c r="B18" s="127"/>
      <c r="C18" s="127"/>
      <c r="D18" s="128">
        <v>20000</v>
      </c>
      <c r="E18" s="128"/>
      <c r="F18" s="128">
        <v>20000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1:16" ht="33" customHeight="1" thickBot="1" thickTop="1">
      <c r="A19" s="126" t="s">
        <v>94</v>
      </c>
      <c r="B19" s="127"/>
      <c r="C19" s="127"/>
      <c r="D19" s="130">
        <v>100000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>
        <v>100000</v>
      </c>
    </row>
    <row r="20" spans="1:16" ht="33" customHeight="1" thickBot="1" thickTop="1">
      <c r="A20" s="126" t="s">
        <v>103</v>
      </c>
      <c r="B20" s="127">
        <f>106790+824622</f>
        <v>931412</v>
      </c>
      <c r="C20" s="127">
        <v>1096714.32</v>
      </c>
      <c r="D20" s="128">
        <f>'[1]PESSOAL ROGÉRIO'!AD192</f>
        <v>1223000.580664106</v>
      </c>
      <c r="E20" s="128">
        <f>'[1]RESTAURANTE PESSOAL E ENCARGOS'!C5</f>
        <v>101006.27894003107</v>
      </c>
      <c r="F20" s="128">
        <f>'[1]RESTAURANTE PESSOAL E ENCARGOS'!D5</f>
        <v>101006.27894003107</v>
      </c>
      <c r="G20" s="128">
        <f>'[1]RESTAURANTE PESSOAL E ENCARGOS'!E5</f>
        <v>101006.27894003107</v>
      </c>
      <c r="H20" s="128">
        <f>'[1]RESTAURANTE PESSOAL E ENCARGOS'!F5</f>
        <v>101006.27894003107</v>
      </c>
      <c r="I20" s="128">
        <f>'[1]RESTAURANTE PESSOAL E ENCARGOS'!G5</f>
        <v>101006.27894003107</v>
      </c>
      <c r="J20" s="128">
        <f>'[1]RESTAURANTE PESSOAL E ENCARGOS'!H5</f>
        <v>101006.27894003107</v>
      </c>
      <c r="K20" s="128">
        <f>'[1]RESTAURANTE PESSOAL E ENCARGOS'!I5</f>
        <v>101006.27894003107</v>
      </c>
      <c r="L20" s="128">
        <f>'[1]RESTAURANTE PESSOAL E ENCARGOS'!J5</f>
        <v>101006.27894003107</v>
      </c>
      <c r="M20" s="128">
        <f>'[1]RESTAURANTE PESSOAL E ENCARGOS'!K5</f>
        <v>103732.7144399643</v>
      </c>
      <c r="N20" s="128">
        <f>'[1]RESTAURANTE PESSOAL E ENCARGOS'!L5</f>
        <v>103739.21156796429</v>
      </c>
      <c r="O20" s="128">
        <f>'[1]RESTAURANTE PESSOAL E ENCARGOS'!M5</f>
        <v>103739.21156796429</v>
      </c>
      <c r="P20" s="128">
        <f>'[1]RESTAURANTE PESSOAL E ENCARGOS'!N5</f>
        <v>103739.21156796429</v>
      </c>
    </row>
    <row r="21" spans="1:16" ht="33" customHeight="1" thickBot="1" thickTop="1">
      <c r="A21" s="126" t="s">
        <v>21</v>
      </c>
      <c r="B21" s="127">
        <f>543189+2152709</f>
        <v>2695898</v>
      </c>
      <c r="C21" s="127">
        <v>3848528.51</v>
      </c>
      <c r="D21" s="128">
        <f>'[1]PESSOAL ROGÉRIO'!AD172</f>
        <v>4419376.342727917</v>
      </c>
      <c r="E21" s="128">
        <f>'[1]PBU PESSOAL E ENCARGOS'!C5</f>
        <v>365420.15101274586</v>
      </c>
      <c r="F21" s="128">
        <f>'[1]PBU PESSOAL E ENCARGOS'!D5</f>
        <v>365420.15101274586</v>
      </c>
      <c r="G21" s="128">
        <f>'[1]PBU PESSOAL E ENCARGOS'!E5</f>
        <v>365420.15101274586</v>
      </c>
      <c r="H21" s="128">
        <f>'[1]PBU PESSOAL E ENCARGOS'!F5</f>
        <v>365420.15101274586</v>
      </c>
      <c r="I21" s="128">
        <f>'[1]PBU PESSOAL E ENCARGOS'!G5</f>
        <v>365420.15101274586</v>
      </c>
      <c r="J21" s="128">
        <f>'[1]PBU PESSOAL E ENCARGOS'!H5</f>
        <v>365420.15101274586</v>
      </c>
      <c r="K21" s="128">
        <f>'[1]PBU PESSOAL E ENCARGOS'!I5</f>
        <v>365420.15101274586</v>
      </c>
      <c r="L21" s="128">
        <f>'[1]PBU PESSOAL E ENCARGOS'!J5</f>
        <v>365420.15101274586</v>
      </c>
      <c r="M21" s="128">
        <f>'[1]PBU PESSOAL E ENCARGOS'!K5</f>
        <v>373932.3071684875</v>
      </c>
      <c r="N21" s="128">
        <f>'[1]PBU PESSOAL E ENCARGOS'!L5</f>
        <v>374027.6091524875</v>
      </c>
      <c r="O21" s="128">
        <f>'[1]PBU PESSOAL E ENCARGOS'!M5</f>
        <v>374027.6091524875</v>
      </c>
      <c r="P21" s="128">
        <f>'[1]PBU PESSOAL E ENCARGOS'!N5</f>
        <v>374027.6091524875</v>
      </c>
    </row>
    <row r="22" spans="1:16" ht="33" customHeight="1" thickBot="1" thickTop="1">
      <c r="A22" s="126" t="s">
        <v>101</v>
      </c>
      <c r="B22" s="127">
        <f>12298551+6994</f>
        <v>12305545</v>
      </c>
      <c r="C22" s="127">
        <v>19659978.88</v>
      </c>
      <c r="D22" s="128">
        <f>'[1]PESSOAL ROGÉRIO'!AD255</f>
        <v>18539378.18676946</v>
      </c>
      <c r="E22" s="128">
        <f>'[1]SEDE PESSOAL E ENCARGOS '!C5</f>
        <v>1531268.0433557783</v>
      </c>
      <c r="F22" s="128">
        <f>'[1]SEDE PESSOAL E ENCARGOS '!D5</f>
        <v>1548979.0510557785</v>
      </c>
      <c r="G22" s="128">
        <f>'[1]SEDE PESSOAL E ENCARGOS '!E5</f>
        <v>1532488.4970557785</v>
      </c>
      <c r="H22" s="128">
        <f>'[1]SEDE PESSOAL E ENCARGOS '!F5</f>
        <v>1529979.0510557785</v>
      </c>
      <c r="I22" s="128">
        <f>'[1]SEDE PESSOAL E ENCARGOS '!G5</f>
        <v>1529979.0510557785</v>
      </c>
      <c r="J22" s="128">
        <f>'[1]SEDE PESSOAL E ENCARGOS '!H5</f>
        <v>1549957.8812557785</v>
      </c>
      <c r="K22" s="128">
        <f>'[1]SEDE PESSOAL E ENCARGOS '!I5</f>
        <v>1532912.0840290263</v>
      </c>
      <c r="L22" s="128">
        <f>'[1]SEDE PESSOAL E ENCARGOS '!J5</f>
        <v>1530054.4910290262</v>
      </c>
      <c r="M22" s="128">
        <f>'[1]SEDE PESSOAL E ENCARGOS '!K5</f>
        <v>1563153.4227291835</v>
      </c>
      <c r="N22" s="128">
        <f>'[1]SEDE PESSOAL E ENCARGOS '!L5</f>
        <v>1563535.5380491833</v>
      </c>
      <c r="O22" s="128">
        <f>'[1]SEDE PESSOAL E ENCARGOS '!M5</f>
        <v>1563535.5380491833</v>
      </c>
      <c r="P22" s="128">
        <f>'[1]SEDE PESSOAL E ENCARGOS '!N5</f>
        <v>1563535.5380491833</v>
      </c>
    </row>
    <row r="23" ht="15.75" thickTop="1"/>
  </sheetData>
  <sheetProtection/>
  <mergeCells count="30">
    <mergeCell ref="B1:D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D15:D16"/>
    <mergeCell ref="E15:E16"/>
    <mergeCell ref="F15:F16"/>
    <mergeCell ref="G15:G16"/>
    <mergeCell ref="H15:H16"/>
    <mergeCell ref="O15:O16"/>
    <mergeCell ref="P15:P16"/>
    <mergeCell ref="I15:I16"/>
    <mergeCell ref="J15:J16"/>
    <mergeCell ref="K15:K16"/>
    <mergeCell ref="L15:L16"/>
    <mergeCell ref="M15:M16"/>
    <mergeCell ref="N15:N1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Barsanulfo</dc:creator>
  <cp:keywords/>
  <dc:description/>
  <cp:lastModifiedBy>Murilo Lopes Figueiredo</cp:lastModifiedBy>
  <cp:lastPrinted>2020-07-01T13:10:08Z</cp:lastPrinted>
  <dcterms:created xsi:type="dcterms:W3CDTF">2015-02-25T13:03:36Z</dcterms:created>
  <dcterms:modified xsi:type="dcterms:W3CDTF">2020-10-20T13:03:47Z</dcterms:modified>
  <cp:category/>
  <cp:version/>
  <cp:contentType/>
  <cp:contentStatus/>
</cp:coreProperties>
</file>