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ecmi\GECMI 2020\Publicações Site\GEFIN\"/>
    </mc:Choice>
  </mc:AlternateContent>
  <xr:revisionPtr revIDLastSave="0" documentId="8_{6D89BFCB-A992-4668-8E8E-7BB8442E6E6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2020" sheetId="4" r:id="rId1"/>
    <sheet name="Planilha1" sheetId="5" state="hidden" r:id="rId2"/>
  </sheets>
  <definedNames>
    <definedName name="_xlnm.Print_Area" localSheetId="0">'2020'!$A$1:$H$143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4" l="1"/>
  <c r="H99" i="4" l="1"/>
  <c r="H114" i="4" l="1"/>
  <c r="H34" i="4"/>
  <c r="H109" i="4" l="1"/>
  <c r="H32" i="4"/>
  <c r="H31" i="4"/>
  <c r="H24" i="4" s="1"/>
  <c r="H2" i="4"/>
  <c r="H104" i="4"/>
  <c r="H106" i="4"/>
  <c r="H101" i="4"/>
  <c r="H93" i="4"/>
  <c r="H84" i="4"/>
  <c r="H72" i="4"/>
  <c r="H67" i="4"/>
  <c r="H62" i="4"/>
  <c r="H57" i="4"/>
  <c r="H52" i="4"/>
  <c r="H42" i="4"/>
  <c r="G33" i="4" l="1"/>
  <c r="F33" i="4" l="1"/>
  <c r="E33" i="4" l="1"/>
  <c r="D33" i="4" l="1"/>
  <c r="G116" i="4" l="1"/>
  <c r="G114" i="4"/>
  <c r="G34" i="4"/>
  <c r="G31" i="4" l="1"/>
  <c r="G2" i="4"/>
  <c r="G89" i="4"/>
  <c r="G93" i="4"/>
  <c r="G109" i="4"/>
  <c r="G32" i="4"/>
  <c r="G24" i="4" s="1"/>
  <c r="G80" i="4" l="1"/>
  <c r="G106" i="4"/>
  <c r="G104" i="4" s="1"/>
  <c r="G101" i="4"/>
  <c r="G99" i="4" s="1"/>
  <c r="G86" i="4"/>
  <c r="G84" i="4" s="1"/>
  <c r="G77" i="4"/>
  <c r="G75" i="4" s="1"/>
  <c r="G72" i="4"/>
  <c r="G70" i="4" s="1"/>
  <c r="G67" i="4"/>
  <c r="G65" i="4" s="1"/>
  <c r="G62" i="4"/>
  <c r="G60" i="4" s="1"/>
  <c r="G57" i="4"/>
  <c r="G55" i="4" s="1"/>
  <c r="G52" i="4"/>
  <c r="G50" i="4" s="1"/>
  <c r="G47" i="4"/>
  <c r="G46" i="4"/>
  <c r="G45" i="4" s="1"/>
  <c r="G42" i="4"/>
  <c r="G40" i="4" s="1"/>
  <c r="C45" i="4" l="1"/>
  <c r="F109" i="4" l="1"/>
  <c r="F37" i="4"/>
  <c r="F32" i="4"/>
  <c r="F2" i="4" l="1"/>
  <c r="F116" i="4" l="1"/>
  <c r="F34" i="4"/>
  <c r="F106" i="4"/>
  <c r="F104" i="4" s="1"/>
  <c r="F102" i="4"/>
  <c r="F101" i="4"/>
  <c r="F96" i="4"/>
  <c r="F93" i="4" s="1"/>
  <c r="F86" i="4"/>
  <c r="F84" i="4" s="1"/>
  <c r="F77" i="4"/>
  <c r="F75" i="4" s="1"/>
  <c r="F72" i="4"/>
  <c r="F67" i="4"/>
  <c r="F62" i="4"/>
  <c r="F57" i="4"/>
  <c r="F52" i="4"/>
  <c r="F47" i="4"/>
  <c r="F45" i="4" s="1"/>
  <c r="F42" i="4"/>
  <c r="F40" i="4" s="1"/>
  <c r="F31" i="4"/>
  <c r="F99" i="4" l="1"/>
  <c r="F24" i="4"/>
  <c r="E114" i="4"/>
  <c r="E34" i="4"/>
  <c r="E37" i="4"/>
  <c r="E32" i="4"/>
  <c r="E96" i="4" l="1"/>
  <c r="E93" i="4" s="1"/>
  <c r="E2" i="4"/>
  <c r="E106" i="4"/>
  <c r="E104" i="4" s="1"/>
  <c r="E102" i="4"/>
  <c r="E101" i="4"/>
  <c r="E86" i="4"/>
  <c r="E84" i="4" s="1"/>
  <c r="E77" i="4"/>
  <c r="E75" i="4" s="1"/>
  <c r="E72" i="4"/>
  <c r="E70" i="4" s="1"/>
  <c r="E67" i="4"/>
  <c r="E65" i="4" s="1"/>
  <c r="E62" i="4"/>
  <c r="E60" i="4" s="1"/>
  <c r="E57" i="4"/>
  <c r="E52" i="4"/>
  <c r="E50" i="4" s="1"/>
  <c r="E47" i="4"/>
  <c r="E45" i="4" s="1"/>
  <c r="E42" i="4"/>
  <c r="E40" i="4" s="1"/>
  <c r="E31" i="4"/>
  <c r="E24" i="4" s="1"/>
  <c r="E99" i="4" l="1"/>
  <c r="D52" i="4"/>
  <c r="D32" i="4" l="1"/>
  <c r="D113" i="4" l="1"/>
  <c r="D2" i="4" l="1"/>
  <c r="D77" i="4" l="1"/>
  <c r="D75" i="4" s="1"/>
  <c r="D72" i="4"/>
  <c r="D70" i="4"/>
  <c r="D67" i="4"/>
  <c r="D65" i="4" s="1"/>
  <c r="D62" i="4"/>
  <c r="D60" i="4" s="1"/>
  <c r="D57" i="4"/>
  <c r="D55" i="4" s="1"/>
  <c r="D50" i="4"/>
  <c r="D47" i="4"/>
  <c r="D45" i="4" s="1"/>
  <c r="D42" i="4"/>
  <c r="D40" i="4" s="1"/>
  <c r="D104" i="4"/>
  <c r="D93" i="4"/>
  <c r="D84" i="4"/>
  <c r="C84" i="4"/>
  <c r="D31" i="4" l="1"/>
  <c r="D24" i="4" s="1"/>
  <c r="C104" i="4" l="1"/>
  <c r="C2" i="4" l="1"/>
  <c r="C33" i="4" l="1"/>
  <c r="C37" i="4" l="1"/>
  <c r="C102" i="4"/>
  <c r="C96" i="4"/>
  <c r="C50" i="4"/>
  <c r="C32" i="4"/>
  <c r="C31" i="4"/>
  <c r="C24" i="4" l="1"/>
  <c r="G113" i="4"/>
  <c r="H113" i="4" l="1"/>
  <c r="H40" i="4" l="1"/>
  <c r="H45" i="4"/>
  <c r="H50" i="4"/>
  <c r="H55" i="4"/>
  <c r="H60" i="4"/>
  <c r="H65" i="4"/>
  <c r="H70" i="4"/>
  <c r="H75" i="4"/>
  <c r="H39" i="4"/>
  <c r="G115" i="4" l="1"/>
  <c r="F117" i="4" l="1"/>
  <c r="G117" i="4"/>
  <c r="G39" i="4" s="1"/>
  <c r="F115" i="4"/>
  <c r="C117" i="4"/>
  <c r="D117" i="4"/>
  <c r="E117" i="4"/>
  <c r="D115" i="4"/>
  <c r="E115" i="4"/>
  <c r="C115" i="4"/>
  <c r="F113" i="4" l="1"/>
  <c r="F89" i="4"/>
  <c r="F80" i="4"/>
  <c r="F70" i="4"/>
  <c r="F65" i="4"/>
  <c r="F60" i="4"/>
  <c r="F55" i="4"/>
  <c r="F50" i="4"/>
  <c r="F39" i="4" l="1"/>
  <c r="E113" i="4" l="1"/>
  <c r="C113" i="4"/>
  <c r="E109" i="4" l="1"/>
  <c r="C109" i="4" l="1"/>
  <c r="D89" i="4" l="1"/>
  <c r="C89" i="4" l="1"/>
  <c r="C99" i="4" l="1"/>
  <c r="C93" i="4" l="1"/>
  <c r="C55" i="4"/>
  <c r="C60" i="4"/>
  <c r="C65" i="4"/>
  <c r="C70" i="4"/>
  <c r="C75" i="4"/>
  <c r="C80" i="4"/>
  <c r="D80" i="4"/>
  <c r="D99" i="4"/>
  <c r="C40" i="4" l="1"/>
  <c r="C39" i="4" l="1"/>
  <c r="H89" i="4" l="1"/>
  <c r="E89" i="4"/>
  <c r="H80" i="4"/>
  <c r="E80" i="4"/>
  <c r="E55" i="4"/>
  <c r="E39" i="4" l="1"/>
  <c r="D109" i="4" l="1"/>
  <c r="D39" i="4" s="1"/>
</calcChain>
</file>

<file path=xl/sharedStrings.xml><?xml version="1.0" encoding="utf-8"?>
<sst xmlns="http://schemas.openxmlformats.org/spreadsheetml/2006/main" count="121" uniqueCount="67">
  <si>
    <t xml:space="preserve">Rubricas </t>
  </si>
  <si>
    <t>Saldo Inicial em Disponibilidade</t>
  </si>
  <si>
    <t>Recursos Recebidos</t>
  </si>
  <si>
    <t>Contrato de Gestão - Repasse Tesouro</t>
  </si>
  <si>
    <t>Contrato de Gestão - Repasse Bolsa</t>
  </si>
  <si>
    <t>Contrato de Gestão - Repasse Restaurante</t>
  </si>
  <si>
    <t>Doações</t>
  </si>
  <si>
    <t>Outras Receitas</t>
  </si>
  <si>
    <t>Pessoal e Encargos</t>
  </si>
  <si>
    <t>Despesas Correntes</t>
  </si>
  <si>
    <t>CENTRO SOCIAL DONA GERCINA BORGES - CSDGB</t>
  </si>
  <si>
    <t>CASA DO INTERIOR DE GOIÁS - CIGO</t>
  </si>
  <si>
    <t>CENTRO DE APOIO AOS ROMEIROS</t>
  </si>
  <si>
    <t>BOLSA UNIVERSITÁRIA</t>
  </si>
  <si>
    <t>APOIO ADMINISTRATIVO</t>
  </si>
  <si>
    <t>Saldo de Investimento - Tesouro</t>
  </si>
  <si>
    <t>Saldo em Conta Corrente - Tesouro (Bradesco - 0244 - 45005-7)</t>
  </si>
  <si>
    <t>Saldo em Conta Corrente - Bolsa Univ. (Bradesco - 0244 - 45011-1)</t>
  </si>
  <si>
    <t>Saldo de Investimento - Bolsa Univ.</t>
  </si>
  <si>
    <t>Saldo em Conta Corrente - Restaurante (Bradesco - 0244 - 45013-8)</t>
  </si>
  <si>
    <t>Saldo de Investimento - Restaurante</t>
  </si>
  <si>
    <t>Rendimento de Aplicação</t>
  </si>
  <si>
    <t>Recuperação de Despesa</t>
  </si>
  <si>
    <t>Despesas Pagas e Investimentos</t>
  </si>
  <si>
    <t>Despesas com refeições</t>
  </si>
  <si>
    <t>Despesas com auxílio estudantil</t>
  </si>
  <si>
    <t>Despesas com Aluguel dos Restaurantes</t>
  </si>
  <si>
    <t>Investimento</t>
  </si>
  <si>
    <t>Estorno / Devolução</t>
  </si>
  <si>
    <t>Termo de Fomento - Banco de Alimentos</t>
  </si>
  <si>
    <t>Saldo em Conta Corrente - Banco de Alimento (Bradesco - 0244-45021-9)</t>
  </si>
  <si>
    <t>Saldo de Investimento - Banco de Alimentos</t>
  </si>
  <si>
    <t>BANCO DE ALIMENTOS</t>
  </si>
  <si>
    <t>COVID-19</t>
  </si>
  <si>
    <t>CENTRO DE IDOSOS SAGRADA FAMÍLIA - CISF</t>
  </si>
  <si>
    <t xml:space="preserve">CENTRO DE IDOSOS VILA VIDA - CIVV </t>
  </si>
  <si>
    <t>ESPAÇO BEM VIVER l - CM</t>
  </si>
  <si>
    <t>ESPAÇO BEM VIVER ll - NF</t>
  </si>
  <si>
    <t>RESTAURANTE DO BEM</t>
  </si>
  <si>
    <t>NATAL DO BEM</t>
  </si>
  <si>
    <t>GERÊNCIA DE VOLUNTARIADO E PARCERIAS SOCIAIS - GVPS</t>
  </si>
  <si>
    <t>CENTRO DE ADOLESCENTES TECENDO O FUTURO - CATF</t>
  </si>
  <si>
    <t>Saldo em Conta Corrente - COVID-19 Ministerio Público (Bradesco - 0244-45055-3)</t>
  </si>
  <si>
    <t>Saldo de Investimento - COVID-19 Ministerio Público</t>
  </si>
  <si>
    <t>Saldo em Conta Corrente - COVID-19 Tribunal de Contas (Bradesco - 0244-45056-1)</t>
  </si>
  <si>
    <t>Saldo de Investimento - COVID-19 Tribunal de Contas</t>
  </si>
  <si>
    <t xml:space="preserve">COVID-19 Ministerio Público </t>
  </si>
  <si>
    <t>COVID-19 Tribunal de Contas</t>
  </si>
  <si>
    <t>COVID-19 - Doações Diversas</t>
  </si>
  <si>
    <t>COVID-19 - Tribunal de Contas</t>
  </si>
  <si>
    <t>Saldo em Conta Corrente - COVID-19 Doações Diversos (Bradesco - 0244-45059-6)</t>
  </si>
  <si>
    <t>Saldo de Investimento - COVID-19 Doações Diversas</t>
  </si>
  <si>
    <t>COVID-19 - Ministério Público</t>
  </si>
  <si>
    <t>Realizado Julho/ 2020</t>
  </si>
  <si>
    <t>Realizado Agosto/ 2020</t>
  </si>
  <si>
    <t>Realizado Setembro/ 2020</t>
  </si>
  <si>
    <t>Realizado Outubro/ 2020</t>
  </si>
  <si>
    <t>Realizado Novembro/ 2020</t>
  </si>
  <si>
    <t>Realizado Dezembro/ 2020</t>
  </si>
  <si>
    <t>Saldo em Conta Corrente - Provisão de Rescisões (Bradesco - 0244 - 45052-9)</t>
  </si>
  <si>
    <t>saldo de Investimento - Provisão de Rescisões</t>
  </si>
  <si>
    <t>Saldo em Conta Corrente - Ações Sociais (Bradesco - 0244- 45053-7)</t>
  </si>
  <si>
    <t xml:space="preserve">Saldo de Investimento - Ações Sociais </t>
  </si>
  <si>
    <t xml:space="preserve">Contrato de Gestão - Repasse Provisão de Rescisões </t>
  </si>
  <si>
    <t xml:space="preserve">Contrato de Gestão - Ações Sociais </t>
  </si>
  <si>
    <t>Provisão de Rescisões</t>
  </si>
  <si>
    <t>GERÊNCIA DE GESTÃO SOCIAL E AVALIAÇÃO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</si>
</sst>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17">
    <xf numFmtId="0" fontId="0" fillId="0" borderId="0" xfId="0"/>
    <xf numFmtId="0" fontId="2" fillId="0" borderId="0" xfId="0" applyFont="1"/>
    <xf numFmtId="0" fontId="7" fillId="0" borderId="2" xfId="0" applyFont="1" applyBorder="1" applyAlignment="1">
      <alignment wrapText="1"/>
    </xf>
    <xf numFmtId="164" fontId="7" fillId="0" borderId="2" xfId="1" applyFont="1" applyBorder="1"/>
    <xf numFmtId="0" fontId="7" fillId="0" borderId="0" xfId="0" applyFont="1" applyAlignment="1">
      <alignment wrapText="1"/>
    </xf>
    <xf numFmtId="164" fontId="7" fillId="0" borderId="0" xfId="1" applyFont="1"/>
    <xf numFmtId="0" fontId="7" fillId="0" borderId="2" xfId="0" applyFont="1" applyFill="1" applyBorder="1" applyAlignment="1">
      <alignment wrapText="1"/>
    </xf>
    <xf numFmtId="164" fontId="7" fillId="0" borderId="2" xfId="1" applyFont="1" applyFill="1" applyBorder="1"/>
    <xf numFmtId="0" fontId="8" fillId="0" borderId="2" xfId="0" applyFont="1" applyFill="1" applyBorder="1" applyAlignment="1">
      <alignment wrapText="1"/>
    </xf>
    <xf numFmtId="164" fontId="8" fillId="0" borderId="2" xfId="1" applyFont="1" applyFill="1" applyBorder="1" applyAlignment="1">
      <alignment wrapText="1"/>
    </xf>
    <xf numFmtId="164" fontId="7" fillId="0" borderId="2" xfId="1" applyFont="1" applyFill="1" applyBorder="1" applyAlignment="1">
      <alignment wrapText="1"/>
    </xf>
    <xf numFmtId="164" fontId="7" fillId="0" borderId="2" xfId="1" applyFont="1" applyBorder="1" applyAlignment="1">
      <alignment wrapText="1"/>
    </xf>
    <xf numFmtId="0" fontId="8" fillId="0" borderId="2" xfId="0" applyFont="1" applyBorder="1" applyAlignment="1">
      <alignment wrapText="1"/>
    </xf>
    <xf numFmtId="164" fontId="8" fillId="0" borderId="2" xfId="1" applyFont="1" applyBorder="1" applyAlignment="1">
      <alignment wrapText="1"/>
    </xf>
    <xf numFmtId="0" fontId="6" fillId="0" borderId="2" xfId="0" applyFont="1" applyBorder="1" applyAlignment="1">
      <alignment wrapText="1"/>
    </xf>
    <xf numFmtId="164" fontId="9" fillId="0" borderId="2" xfId="1" applyFont="1" applyBorder="1" applyAlignment="1">
      <alignment wrapText="1"/>
    </xf>
    <xf numFmtId="164" fontId="7" fillId="2" borderId="2" xfId="1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7" fillId="0" borderId="0" xfId="0" applyFont="1"/>
    <xf numFmtId="164" fontId="6" fillId="4" borderId="1" xfId="1" applyFont="1" applyFill="1" applyBorder="1"/>
    <xf numFmtId="164" fontId="2" fillId="0" borderId="0" xfId="0" applyNumberFormat="1" applyFont="1"/>
    <xf numFmtId="164" fontId="2" fillId="0" borderId="0" xfId="1" applyFont="1"/>
    <xf numFmtId="0" fontId="3" fillId="0" borderId="0" xfId="0" applyFont="1"/>
    <xf numFmtId="164" fontId="3" fillId="0" borderId="0" xfId="1" applyFont="1"/>
    <xf numFmtId="164" fontId="9" fillId="2" borderId="3" xfId="1" applyFont="1" applyFill="1" applyBorder="1" applyAlignment="1">
      <alignment horizontal="right"/>
    </xf>
    <xf numFmtId="164" fontId="9" fillId="0" borderId="2" xfId="1" applyFont="1" applyFill="1" applyBorder="1" applyAlignment="1">
      <alignment wrapText="1"/>
    </xf>
    <xf numFmtId="44" fontId="2" fillId="0" borderId="0" xfId="0" applyNumberFormat="1" applyFont="1"/>
    <xf numFmtId="164" fontId="7" fillId="2" borderId="2" xfId="1" applyFont="1" applyFill="1" applyBorder="1"/>
    <xf numFmtId="164" fontId="0" fillId="0" borderId="0" xfId="0" applyNumberFormat="1"/>
    <xf numFmtId="164" fontId="0" fillId="0" borderId="0" xfId="1" applyFont="1"/>
    <xf numFmtId="44" fontId="0" fillId="0" borderId="0" xfId="0" applyNumberFormat="1"/>
    <xf numFmtId="164" fontId="6" fillId="0" borderId="2" xfId="1" applyFont="1" applyFill="1" applyBorder="1" applyAlignment="1">
      <alignment wrapText="1"/>
    </xf>
    <xf numFmtId="0" fontId="12" fillId="0" borderId="0" xfId="0" applyFont="1"/>
    <xf numFmtId="164" fontId="12" fillId="0" borderId="0" xfId="0" applyNumberFormat="1" applyFont="1"/>
    <xf numFmtId="164" fontId="13" fillId="0" borderId="2" xfId="1" applyFont="1" applyFill="1" applyBorder="1" applyAlignment="1">
      <alignment wrapText="1"/>
    </xf>
    <xf numFmtId="164" fontId="9" fillId="0" borderId="2" xfId="1" applyFont="1" applyBorder="1"/>
    <xf numFmtId="0" fontId="2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64" fontId="6" fillId="4" borderId="8" xfId="1" applyFont="1" applyFill="1" applyBorder="1"/>
    <xf numFmtId="0" fontId="7" fillId="0" borderId="13" xfId="0" applyFont="1" applyBorder="1" applyAlignment="1">
      <alignment wrapText="1"/>
    </xf>
    <xf numFmtId="164" fontId="7" fillId="0" borderId="13" xfId="1" applyFont="1" applyBorder="1"/>
    <xf numFmtId="164" fontId="7" fillId="2" borderId="13" xfId="1" applyFont="1" applyFill="1" applyBorder="1"/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wrapText="1"/>
    </xf>
    <xf numFmtId="164" fontId="6" fillId="4" borderId="16" xfId="1" applyFont="1" applyFill="1" applyBorder="1"/>
    <xf numFmtId="164" fontId="9" fillId="0" borderId="13" xfId="1" applyFont="1" applyBorder="1"/>
    <xf numFmtId="164" fontId="6" fillId="4" borderId="16" xfId="1" applyFont="1" applyFill="1" applyBorder="1" applyAlignment="1">
      <alignment wrapText="1"/>
    </xf>
    <xf numFmtId="164" fontId="6" fillId="4" borderId="17" xfId="1" applyFont="1" applyFill="1" applyBorder="1" applyAlignment="1">
      <alignment wrapText="1"/>
    </xf>
    <xf numFmtId="164" fontId="8" fillId="0" borderId="10" xfId="1" applyFont="1" applyFill="1" applyBorder="1" applyAlignment="1">
      <alignment wrapText="1"/>
    </xf>
    <xf numFmtId="164" fontId="7" fillId="0" borderId="10" xfId="1" applyFont="1" applyBorder="1" applyAlignment="1">
      <alignment wrapText="1"/>
    </xf>
    <xf numFmtId="164" fontId="8" fillId="0" borderId="10" xfId="1" applyFont="1" applyBorder="1" applyAlignment="1">
      <alignment wrapText="1"/>
    </xf>
    <xf numFmtId="164" fontId="9" fillId="0" borderId="10" xfId="1" applyFont="1" applyBorder="1" applyAlignment="1">
      <alignment wrapText="1"/>
    </xf>
    <xf numFmtId="0" fontId="5" fillId="0" borderId="18" xfId="0" applyFont="1" applyBorder="1" applyAlignment="1">
      <alignment horizontal="center"/>
    </xf>
    <xf numFmtId="0" fontId="8" fillId="0" borderId="13" xfId="0" applyFont="1" applyFill="1" applyBorder="1" applyAlignment="1">
      <alignment wrapText="1"/>
    </xf>
    <xf numFmtId="164" fontId="8" fillId="0" borderId="13" xfId="1" applyFont="1" applyFill="1" applyBorder="1" applyAlignment="1">
      <alignment wrapText="1"/>
    </xf>
    <xf numFmtId="164" fontId="8" fillId="0" borderId="13" xfId="1" applyFont="1" applyFill="1" applyBorder="1"/>
    <xf numFmtId="164" fontId="7" fillId="2" borderId="3" xfId="1" applyFont="1" applyFill="1" applyBorder="1" applyAlignment="1">
      <alignment wrapText="1"/>
    </xf>
    <xf numFmtId="164" fontId="9" fillId="2" borderId="2" xfId="1" applyFont="1" applyFill="1" applyBorder="1"/>
    <xf numFmtId="164" fontId="8" fillId="2" borderId="2" xfId="1" applyFont="1" applyFill="1" applyBorder="1" applyAlignment="1">
      <alignment wrapText="1"/>
    </xf>
    <xf numFmtId="164" fontId="9" fillId="2" borderId="2" xfId="1" applyFont="1" applyFill="1" applyBorder="1" applyAlignment="1">
      <alignment wrapText="1"/>
    </xf>
    <xf numFmtId="164" fontId="6" fillId="2" borderId="2" xfId="1" applyFont="1" applyFill="1" applyBorder="1" applyAlignment="1">
      <alignment wrapText="1"/>
    </xf>
    <xf numFmtId="164" fontId="13" fillId="2" borderId="2" xfId="1" applyFont="1" applyFill="1" applyBorder="1" applyAlignment="1">
      <alignment wrapText="1"/>
    </xf>
    <xf numFmtId="164" fontId="7" fillId="2" borderId="10" xfId="1" applyFont="1" applyFill="1" applyBorder="1"/>
    <xf numFmtId="0" fontId="0" fillId="2" borderId="0" xfId="0" applyFill="1"/>
    <xf numFmtId="164" fontId="7" fillId="2" borderId="10" xfId="1" applyFont="1" applyFill="1" applyBorder="1" applyAlignment="1">
      <alignment wrapText="1"/>
    </xf>
    <xf numFmtId="0" fontId="6" fillId="4" borderId="1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5" fillId="0" borderId="0" xfId="0" applyFont="1"/>
    <xf numFmtId="164" fontId="15" fillId="0" borderId="0" xfId="0" applyNumberFormat="1" applyFont="1"/>
    <xf numFmtId="164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7" fillId="2" borderId="14" xfId="1" applyFont="1" applyFill="1" applyBorder="1"/>
    <xf numFmtId="0" fontId="6" fillId="3" borderId="5" xfId="0" applyFont="1" applyFill="1" applyBorder="1" applyAlignment="1">
      <alignment horizontal="center" vertical="center"/>
    </xf>
    <xf numFmtId="164" fontId="6" fillId="2" borderId="10" xfId="1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164" fontId="7" fillId="0" borderId="0" xfId="1" applyFont="1" applyBorder="1" applyAlignment="1">
      <alignment wrapText="1"/>
    </xf>
    <xf numFmtId="164" fontId="7" fillId="0" borderId="0" xfId="1" applyFont="1" applyBorder="1"/>
    <xf numFmtId="164" fontId="7" fillId="2" borderId="0" xfId="1" applyFont="1" applyFill="1" applyBorder="1"/>
    <xf numFmtId="164" fontId="7" fillId="0" borderId="0" xfId="1" applyFont="1" applyFill="1" applyBorder="1"/>
    <xf numFmtId="164" fontId="7" fillId="2" borderId="13" xfId="1" applyFont="1" applyFill="1" applyBorder="1" applyAlignment="1">
      <alignment wrapText="1"/>
    </xf>
    <xf numFmtId="164" fontId="6" fillId="0" borderId="2" xfId="1" applyFont="1" applyBorder="1" applyAlignment="1">
      <alignment wrapText="1"/>
    </xf>
    <xf numFmtId="164" fontId="6" fillId="0" borderId="10" xfId="1" applyFont="1" applyBorder="1" applyAlignment="1">
      <alignment wrapText="1"/>
    </xf>
    <xf numFmtId="0" fontId="6" fillId="4" borderId="1" xfId="0" applyFont="1" applyFill="1" applyBorder="1" applyAlignment="1">
      <alignment horizontal="center" wrapText="1"/>
    </xf>
    <xf numFmtId="164" fontId="6" fillId="4" borderId="1" xfId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164" fontId="2" fillId="0" borderId="20" xfId="1" applyFont="1" applyBorder="1"/>
    <xf numFmtId="164" fontId="2" fillId="2" borderId="0" xfId="1" applyFont="1" applyFill="1"/>
    <xf numFmtId="0" fontId="2" fillId="0" borderId="11" xfId="0" applyFont="1" applyBorder="1" applyAlignment="1">
      <alignment horizontal="center" wrapText="1"/>
    </xf>
    <xf numFmtId="164" fontId="2" fillId="2" borderId="0" xfId="1" applyFont="1" applyFill="1" applyBorder="1"/>
    <xf numFmtId="164" fontId="2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8" fillId="0" borderId="2" xfId="1" applyFont="1" applyBorder="1" applyAlignment="1">
      <alignment horizontal="center" vertical="center" wrapText="1"/>
    </xf>
    <xf numFmtId="164" fontId="7" fillId="0" borderId="2" xfId="1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164" fontId="7" fillId="2" borderId="2" xfId="1" applyFont="1" applyFill="1" applyBorder="1" applyAlignment="1">
      <alignment horizontal="center" vertical="center" wrapText="1"/>
    </xf>
    <xf numFmtId="164" fontId="8" fillId="0" borderId="2" xfId="1" applyFont="1" applyFill="1" applyBorder="1" applyAlignment="1">
      <alignment horizontal="center" vertical="center" wrapText="1"/>
    </xf>
    <xf numFmtId="164" fontId="7" fillId="0" borderId="2" xfId="1" applyFont="1" applyFill="1" applyBorder="1" applyAlignment="1">
      <alignment horizontal="center" vertical="center" wrapText="1"/>
    </xf>
    <xf numFmtId="164" fontId="7" fillId="2" borderId="3" xfId="1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horizontal="center" vertical="center" wrapText="1"/>
    </xf>
    <xf numFmtId="164" fontId="8" fillId="0" borderId="13" xfId="1" applyFont="1" applyFill="1" applyBorder="1" applyAlignment="1">
      <alignment horizontal="center" vertical="center"/>
    </xf>
    <xf numFmtId="164" fontId="7" fillId="0" borderId="2" xfId="1" applyFont="1" applyBorder="1" applyAlignment="1"/>
    <xf numFmtId="164" fontId="7" fillId="2" borderId="2" xfId="1" applyFont="1" applyFill="1" applyBorder="1" applyAlignment="1"/>
    <xf numFmtId="0" fontId="6" fillId="3" borderId="5" xfId="0" applyFont="1" applyFill="1" applyBorder="1" applyAlignment="1">
      <alignment vertical="center" wrapText="1"/>
    </xf>
    <xf numFmtId="164" fontId="2" fillId="0" borderId="0" xfId="1" applyFont="1" applyAlignment="1">
      <alignment horizontal="left"/>
    </xf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10" fillId="0" borderId="0" xfId="1" applyFont="1" applyAlignment="1">
      <alignment horizontal="center"/>
    </xf>
  </cellXfs>
  <cellStyles count="3">
    <cellStyle name="Mo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CCFF"/>
      <color rgb="FFCCFFFF"/>
      <color rgb="FF99CCFF"/>
      <color rgb="FFFF7C80"/>
      <color rgb="FF6789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6"/>
  <sheetViews>
    <sheetView tabSelected="1" view="pageLayout" topLeftCell="A25" zoomScale="80" zoomScaleNormal="100" zoomScalePageLayoutView="80" workbookViewId="0">
      <selection activeCell="D34" sqref="D34"/>
    </sheetView>
  </sheetViews>
  <sheetFormatPr defaultColWidth="9.140625" defaultRowHeight="15" x14ac:dyDescent="0.25"/>
  <cols>
    <col min="1" max="1" width="7" style="37" customWidth="1"/>
    <col min="2" max="2" width="39.5703125" style="1" customWidth="1"/>
    <col min="3" max="3" width="22.28515625" style="1" customWidth="1"/>
    <col min="4" max="4" width="23.28515625" style="1" customWidth="1"/>
    <col min="5" max="5" width="24.85546875" style="1" customWidth="1"/>
    <col min="6" max="6" width="22.140625" style="1" customWidth="1"/>
    <col min="7" max="7" width="24.42578125" style="1" customWidth="1"/>
    <col min="8" max="8" width="24" style="1" customWidth="1"/>
    <col min="9" max="9" width="23.140625" customWidth="1"/>
    <col min="10" max="10" width="17" customWidth="1"/>
    <col min="11" max="11" width="18.5703125" customWidth="1"/>
    <col min="12" max="13" width="8.85546875" customWidth="1"/>
    <col min="14" max="16384" width="9.140625" style="1"/>
  </cols>
  <sheetData>
    <row r="1" spans="1:8" ht="35.25" customHeight="1" thickTop="1" thickBot="1" x14ac:dyDescent="0.3">
      <c r="A1" s="38"/>
      <c r="B1" s="75" t="s">
        <v>0</v>
      </c>
      <c r="C1" s="39" t="s">
        <v>53</v>
      </c>
      <c r="D1" s="39" t="s">
        <v>54</v>
      </c>
      <c r="E1" s="39" t="s">
        <v>55</v>
      </c>
      <c r="F1" s="107" t="s">
        <v>56</v>
      </c>
      <c r="G1" s="39" t="s">
        <v>57</v>
      </c>
      <c r="H1" s="40" t="s">
        <v>58</v>
      </c>
    </row>
    <row r="2" spans="1:8" ht="32.25" customHeight="1" x14ac:dyDescent="0.25">
      <c r="A2" s="88">
        <v>1</v>
      </c>
      <c r="B2" s="86" t="s">
        <v>1</v>
      </c>
      <c r="C2" s="87">
        <f t="shared" ref="C2:G2" si="0">SUM(C3:C20)</f>
        <v>36153244.959999993</v>
      </c>
      <c r="D2" s="87">
        <f t="shared" si="0"/>
        <v>35878885.860000007</v>
      </c>
      <c r="E2" s="20">
        <f t="shared" si="0"/>
        <v>37315533.670000002</v>
      </c>
      <c r="F2" s="20">
        <f t="shared" si="0"/>
        <v>39483266.129999988</v>
      </c>
      <c r="G2" s="20">
        <f t="shared" si="0"/>
        <v>39954765.642999992</v>
      </c>
      <c r="H2" s="41">
        <f>SUM(H3:H20)</f>
        <v>37049647.519999996</v>
      </c>
    </row>
    <row r="3" spans="1:8" ht="27.75" customHeight="1" x14ac:dyDescent="0.25">
      <c r="A3" s="112"/>
      <c r="B3" s="2" t="s">
        <v>16</v>
      </c>
      <c r="C3" s="11">
        <v>1248223.02</v>
      </c>
      <c r="D3" s="3">
        <v>159820.56</v>
      </c>
      <c r="E3" s="3">
        <v>601669.01</v>
      </c>
      <c r="F3" s="3">
        <v>139129.59</v>
      </c>
      <c r="G3" s="28">
        <v>101572.15300000001</v>
      </c>
      <c r="H3" s="28">
        <v>179055.99</v>
      </c>
    </row>
    <row r="4" spans="1:8" ht="18" customHeight="1" x14ac:dyDescent="0.25">
      <c r="A4" s="112"/>
      <c r="B4" s="2" t="s">
        <v>15</v>
      </c>
      <c r="C4" s="11">
        <v>23345099.190000001</v>
      </c>
      <c r="D4" s="28">
        <v>24290777.25</v>
      </c>
      <c r="E4" s="3">
        <v>20986778.899999999</v>
      </c>
      <c r="F4" s="3">
        <v>24336932.870000001</v>
      </c>
      <c r="G4" s="28">
        <v>25026227.449999999</v>
      </c>
      <c r="H4" s="28">
        <v>23527679.32</v>
      </c>
    </row>
    <row r="5" spans="1:8" ht="30.75" customHeight="1" x14ac:dyDescent="0.25">
      <c r="A5" s="112"/>
      <c r="B5" s="2" t="s">
        <v>59</v>
      </c>
      <c r="C5" s="16">
        <v>0</v>
      </c>
      <c r="D5" s="28">
        <v>0</v>
      </c>
      <c r="E5" s="3">
        <v>2004407.88</v>
      </c>
      <c r="F5" s="3">
        <v>104056.42</v>
      </c>
      <c r="G5" s="28">
        <v>150925.82</v>
      </c>
      <c r="H5" s="28">
        <v>174845.39</v>
      </c>
    </row>
    <row r="6" spans="1:8" ht="28.5" customHeight="1" x14ac:dyDescent="0.25">
      <c r="A6" s="112"/>
      <c r="B6" s="2" t="s">
        <v>60</v>
      </c>
      <c r="C6" s="16">
        <v>0</v>
      </c>
      <c r="D6" s="28">
        <v>0</v>
      </c>
      <c r="E6" s="3">
        <v>7283.59</v>
      </c>
      <c r="F6" s="3">
        <v>1558926.56</v>
      </c>
      <c r="G6" s="28">
        <v>1360741.15</v>
      </c>
      <c r="H6" s="28">
        <v>1362318.62</v>
      </c>
    </row>
    <row r="7" spans="1:8" ht="30.75" customHeight="1" x14ac:dyDescent="0.25">
      <c r="A7" s="112"/>
      <c r="B7" s="2" t="s">
        <v>17</v>
      </c>
      <c r="C7" s="11">
        <v>359602.46</v>
      </c>
      <c r="D7" s="3">
        <v>133793.03</v>
      </c>
      <c r="E7" s="3">
        <v>237166.16</v>
      </c>
      <c r="F7" s="3">
        <v>139936.14000000001</v>
      </c>
      <c r="G7" s="28">
        <v>37540.910000000003</v>
      </c>
      <c r="H7" s="28">
        <v>59660.61</v>
      </c>
    </row>
    <row r="8" spans="1:8" ht="20.25" customHeight="1" x14ac:dyDescent="0.25">
      <c r="A8" s="112"/>
      <c r="B8" s="2" t="s">
        <v>18</v>
      </c>
      <c r="C8" s="11">
        <v>7823474.2300000004</v>
      </c>
      <c r="D8" s="28">
        <v>8238746.2000000002</v>
      </c>
      <c r="E8" s="105">
        <v>8251999.3899999997</v>
      </c>
      <c r="F8" s="3">
        <v>7674984.5</v>
      </c>
      <c r="G8" s="28">
        <v>8176360.1399999997</v>
      </c>
      <c r="H8" s="28">
        <v>6326396.25</v>
      </c>
    </row>
    <row r="9" spans="1:8" ht="33" customHeight="1" x14ac:dyDescent="0.25">
      <c r="A9" s="112"/>
      <c r="B9" s="2" t="s">
        <v>19</v>
      </c>
      <c r="C9" s="11">
        <v>1</v>
      </c>
      <c r="D9" s="3">
        <v>63974.19</v>
      </c>
      <c r="E9" s="105">
        <v>151138.43</v>
      </c>
      <c r="F9" s="3">
        <v>32766.37</v>
      </c>
      <c r="G9" s="28">
        <v>31493.21</v>
      </c>
      <c r="H9" s="28">
        <v>2613.2800000000002</v>
      </c>
    </row>
    <row r="10" spans="1:8" ht="21.75" customHeight="1" x14ac:dyDescent="0.25">
      <c r="A10" s="112"/>
      <c r="B10" s="2" t="s">
        <v>20</v>
      </c>
      <c r="C10" s="11">
        <v>1757354.13</v>
      </c>
      <c r="D10" s="3">
        <v>1725719.22</v>
      </c>
      <c r="E10" s="105">
        <v>1919103.38</v>
      </c>
      <c r="F10" s="3">
        <v>2052871.04</v>
      </c>
      <c r="G10" s="28">
        <v>2256366.79</v>
      </c>
      <c r="H10" s="28">
        <v>2490240.25</v>
      </c>
    </row>
    <row r="11" spans="1:8" ht="31.5" customHeight="1" x14ac:dyDescent="0.25">
      <c r="A11" s="112"/>
      <c r="B11" s="2" t="s">
        <v>61</v>
      </c>
      <c r="C11" s="16">
        <v>0</v>
      </c>
      <c r="D11" s="28">
        <v>0</v>
      </c>
      <c r="E11" s="105">
        <v>1388391.75</v>
      </c>
      <c r="F11" s="3">
        <v>102522.26</v>
      </c>
      <c r="G11" s="28">
        <v>105028.82</v>
      </c>
      <c r="H11" s="28">
        <v>84243.64</v>
      </c>
    </row>
    <row r="12" spans="1:8" ht="18.75" customHeight="1" x14ac:dyDescent="0.25">
      <c r="A12" s="112"/>
      <c r="B12" s="2" t="s">
        <v>62</v>
      </c>
      <c r="C12" s="16">
        <v>0</v>
      </c>
      <c r="D12" s="28">
        <v>0</v>
      </c>
      <c r="E12" s="105">
        <v>0</v>
      </c>
      <c r="F12" s="3">
        <v>1600889.05</v>
      </c>
      <c r="G12" s="28">
        <v>1352877.35</v>
      </c>
      <c r="H12" s="28">
        <v>1559309.93</v>
      </c>
    </row>
    <row r="13" spans="1:8" ht="30.75" customHeight="1" x14ac:dyDescent="0.25">
      <c r="A13" s="112"/>
      <c r="B13" s="2" t="s">
        <v>30</v>
      </c>
      <c r="C13" s="16">
        <v>56417.97</v>
      </c>
      <c r="D13" s="28">
        <v>154010.59</v>
      </c>
      <c r="E13" s="105">
        <v>169127.36</v>
      </c>
      <c r="F13" s="28">
        <v>176176.88</v>
      </c>
      <c r="G13" s="28">
        <v>59562.8</v>
      </c>
      <c r="H13" s="28">
        <v>14570.73</v>
      </c>
    </row>
    <row r="14" spans="1:8" ht="18.75" customHeight="1" x14ac:dyDescent="0.25">
      <c r="A14" s="112"/>
      <c r="B14" s="2" t="s">
        <v>31</v>
      </c>
      <c r="C14" s="16">
        <v>0</v>
      </c>
      <c r="D14" s="28">
        <v>0</v>
      </c>
      <c r="E14" s="105">
        <v>0</v>
      </c>
      <c r="F14" s="28">
        <v>0</v>
      </c>
      <c r="G14" s="28">
        <v>0</v>
      </c>
      <c r="H14" s="28">
        <v>220190.74</v>
      </c>
    </row>
    <row r="15" spans="1:8" ht="30" customHeight="1" x14ac:dyDescent="0.25">
      <c r="A15" s="112"/>
      <c r="B15" s="2" t="s">
        <v>50</v>
      </c>
      <c r="C15" s="16">
        <v>1028980.55</v>
      </c>
      <c r="D15" s="16">
        <v>1024582.47</v>
      </c>
      <c r="E15" s="11">
        <v>1511005.47</v>
      </c>
      <c r="F15" s="16">
        <v>673788.41</v>
      </c>
      <c r="G15" s="28">
        <v>676543.41</v>
      </c>
      <c r="H15" s="28">
        <v>671646.73</v>
      </c>
    </row>
    <row r="16" spans="1:8" ht="29.25" customHeight="1" x14ac:dyDescent="0.25">
      <c r="A16" s="112"/>
      <c r="B16" s="2" t="s">
        <v>51</v>
      </c>
      <c r="C16" s="16">
        <v>0</v>
      </c>
      <c r="D16" s="16">
        <v>0</v>
      </c>
      <c r="E16" s="106">
        <v>0</v>
      </c>
      <c r="F16" s="36">
        <v>0</v>
      </c>
      <c r="G16" s="28">
        <v>0</v>
      </c>
      <c r="H16" s="28">
        <v>0</v>
      </c>
    </row>
    <row r="17" spans="1:8" ht="30.75" customHeight="1" x14ac:dyDescent="0.25">
      <c r="A17" s="112"/>
      <c r="B17" s="2" t="s">
        <v>42</v>
      </c>
      <c r="C17" s="16">
        <v>534092.41</v>
      </c>
      <c r="D17" s="16">
        <v>87462.35</v>
      </c>
      <c r="E17" s="11">
        <v>87462.35</v>
      </c>
      <c r="F17" s="11">
        <v>890286.04</v>
      </c>
      <c r="G17" s="28">
        <v>619525.64</v>
      </c>
      <c r="H17" s="28">
        <v>376876.04000000004</v>
      </c>
    </row>
    <row r="18" spans="1:8" ht="30" customHeight="1" x14ac:dyDescent="0.25">
      <c r="A18" s="112"/>
      <c r="B18" s="2" t="s">
        <v>43</v>
      </c>
      <c r="C18" s="16">
        <v>0</v>
      </c>
      <c r="D18" s="16">
        <v>0</v>
      </c>
      <c r="E18" s="11">
        <v>0</v>
      </c>
      <c r="F18" s="3">
        <v>0</v>
      </c>
      <c r="G18" s="28">
        <v>0</v>
      </c>
      <c r="H18" s="3">
        <v>0</v>
      </c>
    </row>
    <row r="19" spans="1:8" ht="29.25" customHeight="1" x14ac:dyDescent="0.25">
      <c r="A19" s="112"/>
      <c r="B19" s="2" t="s">
        <v>44</v>
      </c>
      <c r="C19" s="11">
        <v>0</v>
      </c>
      <c r="D19" s="11">
        <v>0</v>
      </c>
      <c r="E19" s="11">
        <v>0</v>
      </c>
      <c r="F19" s="7">
        <v>0</v>
      </c>
      <c r="G19" s="28">
        <v>0</v>
      </c>
      <c r="H19" s="3">
        <v>0</v>
      </c>
    </row>
    <row r="20" spans="1:8" ht="29.25" customHeight="1" x14ac:dyDescent="0.25">
      <c r="A20" s="112"/>
      <c r="B20" s="2" t="s">
        <v>45</v>
      </c>
      <c r="C20" s="11">
        <v>0</v>
      </c>
      <c r="D20" s="11">
        <v>0</v>
      </c>
      <c r="E20" s="11">
        <v>0</v>
      </c>
      <c r="F20" s="7">
        <v>0</v>
      </c>
      <c r="G20" s="28">
        <v>0</v>
      </c>
      <c r="H20" s="3">
        <v>0</v>
      </c>
    </row>
    <row r="21" spans="1:8" ht="29.25" customHeight="1" x14ac:dyDescent="0.25">
      <c r="A21" s="77"/>
      <c r="B21" s="78"/>
      <c r="C21" s="79"/>
      <c r="D21" s="79"/>
      <c r="E21" s="79"/>
      <c r="F21" s="82"/>
      <c r="G21" s="81"/>
      <c r="H21" s="80"/>
    </row>
    <row r="22" spans="1:8" ht="29.25" customHeight="1" x14ac:dyDescent="0.25">
      <c r="A22" s="77"/>
      <c r="B22" s="78"/>
      <c r="C22" s="79"/>
      <c r="D22" s="79"/>
      <c r="E22" s="79"/>
      <c r="F22" s="82"/>
      <c r="G22" s="81"/>
      <c r="H22" s="80"/>
    </row>
    <row r="23" spans="1:8" ht="15.75" thickBot="1" x14ac:dyDescent="0.3">
      <c r="B23" s="4"/>
      <c r="C23" s="4"/>
      <c r="D23" s="5"/>
      <c r="E23" s="5"/>
      <c r="F23" s="5"/>
      <c r="G23" s="5"/>
      <c r="H23" s="5"/>
    </row>
    <row r="24" spans="1:8" ht="27" customHeight="1" thickTop="1" x14ac:dyDescent="0.25">
      <c r="A24" s="45">
        <v>2</v>
      </c>
      <c r="B24" s="46" t="s">
        <v>2</v>
      </c>
      <c r="C24" s="47">
        <f t="shared" ref="C24:E24" si="1">SUM(C25:C37)</f>
        <v>12514711.029999997</v>
      </c>
      <c r="D24" s="47">
        <f t="shared" si="1"/>
        <v>13459409.909999998</v>
      </c>
      <c r="E24" s="47">
        <f t="shared" si="1"/>
        <v>15409436.449999997</v>
      </c>
      <c r="F24" s="47">
        <f>SUM(F25:F37)</f>
        <v>14589794.492999999</v>
      </c>
      <c r="G24" s="47">
        <f>SUM(G25:G37)</f>
        <v>13899906.719999999</v>
      </c>
      <c r="H24" s="47">
        <f>SUM(H25:H37)</f>
        <v>22323965.870000001</v>
      </c>
    </row>
    <row r="25" spans="1:8" ht="15.75" customHeight="1" x14ac:dyDescent="0.25">
      <c r="A25" s="113"/>
      <c r="B25" s="2" t="s">
        <v>3</v>
      </c>
      <c r="C25" s="25">
        <v>3708816.4</v>
      </c>
      <c r="D25" s="3">
        <v>3374333.4</v>
      </c>
      <c r="E25" s="28">
        <v>5665158.2699999996</v>
      </c>
      <c r="F25" s="3">
        <v>5988297.4900000002</v>
      </c>
      <c r="G25" s="28">
        <v>5412708.46</v>
      </c>
      <c r="H25" s="65">
        <v>6670158.2400000002</v>
      </c>
    </row>
    <row r="26" spans="1:8" x14ac:dyDescent="0.25">
      <c r="A26" s="114"/>
      <c r="B26" s="2" t="s">
        <v>4</v>
      </c>
      <c r="C26" s="3">
        <v>6511042.2000000002</v>
      </c>
      <c r="D26" s="3">
        <v>5853148.2199999997</v>
      </c>
      <c r="E26" s="28">
        <v>5849148.21</v>
      </c>
      <c r="F26" s="3">
        <v>5849148.21</v>
      </c>
      <c r="G26" s="28">
        <v>5839158.21</v>
      </c>
      <c r="H26" s="65">
        <v>9584686.8300000001</v>
      </c>
    </row>
    <row r="27" spans="1:8" ht="18" customHeight="1" x14ac:dyDescent="0.25">
      <c r="A27" s="114"/>
      <c r="B27" s="2" t="s">
        <v>5</v>
      </c>
      <c r="C27" s="3">
        <v>1348223.09</v>
      </c>
      <c r="D27" s="3">
        <v>1591132.38</v>
      </c>
      <c r="E27" s="28">
        <v>1546155.7</v>
      </c>
      <c r="F27" s="3">
        <v>1534458.7930000001</v>
      </c>
      <c r="G27" s="28">
        <v>1576672.26</v>
      </c>
      <c r="H27" s="65">
        <v>2964917.12</v>
      </c>
    </row>
    <row r="28" spans="1:8" ht="30" customHeight="1" x14ac:dyDescent="0.25">
      <c r="A28" s="114"/>
      <c r="B28" s="2" t="s">
        <v>63</v>
      </c>
      <c r="C28" s="28">
        <v>0</v>
      </c>
      <c r="D28" s="28">
        <v>77272.45</v>
      </c>
      <c r="E28" s="28">
        <v>70386.720000000001</v>
      </c>
      <c r="F28" s="3">
        <v>67511.59</v>
      </c>
      <c r="G28" s="28">
        <v>69741.850000000006</v>
      </c>
      <c r="H28" s="65">
        <v>148527.19</v>
      </c>
    </row>
    <row r="29" spans="1:8" ht="20.25" customHeight="1" x14ac:dyDescent="0.25">
      <c r="A29" s="114"/>
      <c r="B29" s="2" t="s">
        <v>64</v>
      </c>
      <c r="C29" s="28">
        <v>0</v>
      </c>
      <c r="D29" s="28">
        <v>1519189.76</v>
      </c>
      <c r="E29" s="28">
        <v>1220642.03</v>
      </c>
      <c r="F29" s="3">
        <v>471060.74</v>
      </c>
      <c r="G29" s="28">
        <v>734560.74</v>
      </c>
      <c r="H29" s="65">
        <v>2648981.96</v>
      </c>
    </row>
    <row r="30" spans="1:8" ht="21" customHeight="1" x14ac:dyDescent="0.25">
      <c r="A30" s="114"/>
      <c r="B30" s="2" t="s">
        <v>29</v>
      </c>
      <c r="C30" s="3">
        <v>160000</v>
      </c>
      <c r="D30" s="28">
        <v>80000</v>
      </c>
      <c r="E30" s="28">
        <v>80000</v>
      </c>
      <c r="F30" s="28">
        <v>80000</v>
      </c>
      <c r="G30" s="28">
        <v>80000</v>
      </c>
      <c r="H30" s="65">
        <v>80000</v>
      </c>
    </row>
    <row r="31" spans="1:8" ht="18.75" customHeight="1" x14ac:dyDescent="0.25">
      <c r="A31" s="114"/>
      <c r="B31" s="2" t="s">
        <v>21</v>
      </c>
      <c r="C31" s="3">
        <f>45678.06+3365.09+15271.97</f>
        <v>64315.119999999995</v>
      </c>
      <c r="D31" s="3">
        <f>36492.97+11.14+3384.16+13253.19+0</f>
        <v>53141.460000000006</v>
      </c>
      <c r="E31" s="28">
        <f>34542.97+1642.97+3767.66+12985.11+889.05</f>
        <v>53827.760000000009</v>
      </c>
      <c r="F31" s="60">
        <f>37294.58+1814.59+3495.75+11375.64+1988.3</f>
        <v>55968.86</v>
      </c>
      <c r="G31" s="28">
        <f>34956.72+1577.47+3873.46+10036.11+1432.58</f>
        <v>51876.340000000004</v>
      </c>
      <c r="H31" s="65">
        <f>37266.39+1895.69+6334.77+15931.91+1830.63+235.92</f>
        <v>63495.310000000005</v>
      </c>
    </row>
    <row r="32" spans="1:8" ht="20.25" customHeight="1" x14ac:dyDescent="0.25">
      <c r="A32" s="114"/>
      <c r="B32" s="6" t="s">
        <v>22</v>
      </c>
      <c r="C32" s="3">
        <f>24782.35+0+1000</f>
        <v>25782.35</v>
      </c>
      <c r="D32" s="28">
        <f>39173.14+135.85+0+0+480.7</f>
        <v>39789.689999999995</v>
      </c>
      <c r="E32" s="28">
        <f>38918.28+1.05+1200+4102.06+869.78</f>
        <v>45091.17</v>
      </c>
      <c r="F32" s="60">
        <f>25648+1000+8.39</f>
        <v>26656.39</v>
      </c>
      <c r="G32" s="28">
        <f>39458.55+359.27</f>
        <v>39817.82</v>
      </c>
      <c r="H32" s="65">
        <f>49457.14+133.89+800+1500+69.74+7094.64</f>
        <v>59055.409999999996</v>
      </c>
    </row>
    <row r="33" spans="1:11" ht="19.5" customHeight="1" x14ac:dyDescent="0.25">
      <c r="A33" s="114"/>
      <c r="B33" s="2" t="s">
        <v>6</v>
      </c>
      <c r="C33" s="28">
        <f>66541.13+76364.31</f>
        <v>142905.44</v>
      </c>
      <c r="D33" s="28">
        <f>1291+58958.33</f>
        <v>60249.33</v>
      </c>
      <c r="E33" s="28">
        <f>1741.45+62424</f>
        <v>64165.45</v>
      </c>
      <c r="F33" s="28">
        <f>7030.63+86382.79</f>
        <v>93413.42</v>
      </c>
      <c r="G33" s="28">
        <f>10577.09+82041.53</f>
        <v>92618.62</v>
      </c>
      <c r="H33" s="65">
        <f>30145.58+70690.23</f>
        <v>100835.81</v>
      </c>
      <c r="I33" s="66"/>
    </row>
    <row r="34" spans="1:11" ht="18" customHeight="1" x14ac:dyDescent="0.25">
      <c r="A34" s="114"/>
      <c r="B34" s="2" t="s">
        <v>33</v>
      </c>
      <c r="C34" s="28">
        <v>459085.98</v>
      </c>
      <c r="D34" s="7">
        <v>809469.2</v>
      </c>
      <c r="E34" s="28">
        <f>100+490+125+1954+316.03+100+800</f>
        <v>3885.0299999999997</v>
      </c>
      <c r="F34" s="60">
        <f>1955+800</f>
        <v>2755</v>
      </c>
      <c r="G34" s="28">
        <f>1952.42+800</f>
        <v>2752.42</v>
      </c>
      <c r="H34" s="65">
        <f>50+1954+800</f>
        <v>2804</v>
      </c>
      <c r="I34" s="66"/>
    </row>
    <row r="35" spans="1:11" ht="21" customHeight="1" x14ac:dyDescent="0.25">
      <c r="A35" s="114"/>
      <c r="B35" s="2" t="s">
        <v>46</v>
      </c>
      <c r="C35" s="28">
        <v>0</v>
      </c>
      <c r="D35" s="7">
        <v>0</v>
      </c>
      <c r="E35" s="28">
        <v>802823.69</v>
      </c>
      <c r="F35" s="60">
        <v>0</v>
      </c>
      <c r="G35" s="28">
        <v>0</v>
      </c>
      <c r="H35" s="65">
        <v>0</v>
      </c>
      <c r="I35" s="66"/>
      <c r="J35" s="66"/>
    </row>
    <row r="36" spans="1:11" ht="18.75" customHeight="1" x14ac:dyDescent="0.25">
      <c r="A36" s="114"/>
      <c r="B36" s="2" t="s">
        <v>47</v>
      </c>
      <c r="C36" s="28">
        <v>0</v>
      </c>
      <c r="D36" s="7">
        <v>0</v>
      </c>
      <c r="E36" s="28">
        <v>0</v>
      </c>
      <c r="F36" s="60">
        <v>0</v>
      </c>
      <c r="G36" s="28">
        <v>0</v>
      </c>
      <c r="H36" s="65">
        <v>0</v>
      </c>
    </row>
    <row r="37" spans="1:11" ht="21.75" customHeight="1" thickBot="1" x14ac:dyDescent="0.3">
      <c r="A37" s="115"/>
      <c r="B37" s="42" t="s">
        <v>7</v>
      </c>
      <c r="C37" s="83">
        <f>19989.1+6284.66+68266.69</f>
        <v>94540.45</v>
      </c>
      <c r="D37" s="43">
        <v>1684.02</v>
      </c>
      <c r="E37" s="43">
        <f>1544.66+6607.76</f>
        <v>8152.42</v>
      </c>
      <c r="F37" s="48">
        <f>237905+182619</f>
        <v>420524</v>
      </c>
      <c r="G37" s="44">
        <v>0</v>
      </c>
      <c r="H37" s="74">
        <v>504</v>
      </c>
    </row>
    <row r="38" spans="1:11" ht="16.5" thickTop="1" thickBot="1" x14ac:dyDescent="0.3">
      <c r="B38" s="4"/>
      <c r="C38" s="4"/>
      <c r="D38" s="5"/>
      <c r="E38" s="5"/>
      <c r="F38" s="5"/>
      <c r="G38" s="5"/>
      <c r="H38" s="5"/>
    </row>
    <row r="39" spans="1:11" ht="23.25" customHeight="1" thickTop="1" x14ac:dyDescent="0.25">
      <c r="A39" s="68">
        <v>3</v>
      </c>
      <c r="B39" s="46" t="s">
        <v>23</v>
      </c>
      <c r="C39" s="49">
        <f>C40+C45+C50+C55+C60+C65+C70+C75+C80+C89+C93+C99+C104+C119+C109+C113+C115+C117</f>
        <v>12646164.689999999</v>
      </c>
      <c r="D39" s="49">
        <f>D40+D45+D50+D55+D60+D65+D70+D75+D80+D89+D93+D99+D104+D119+D109+D113+D115+D117+D84</f>
        <v>11962512.773</v>
      </c>
      <c r="E39" s="49">
        <f>E40+E45+E50+E55+E60+E65+E70+E75+E80+E89+E93+E99+E104+E119+E109+E113+E115+E117+E84</f>
        <v>13177538.540000001</v>
      </c>
      <c r="F39" s="49">
        <f>F40+F45+F50+F55+F60+F65+F70+F75+F80+F89+F93+F99+F104+F119+F109+F113+F115+F117+F84</f>
        <v>13874881.560000001</v>
      </c>
      <c r="G39" s="49">
        <f>G40+G45+G50+G55+G60+G65+G70+G75+G80+G89+G93+G99+G104+G119+G109+G113+G115+G117+G84</f>
        <v>16862596.960000001</v>
      </c>
      <c r="H39" s="50">
        <f>H40+H45+H50+H55+H60+H65+H70+H75+H80+H89+H93+H99+H104+H119+H109+H113+H115+H117+H84</f>
        <v>14915675.590000002</v>
      </c>
      <c r="I39" s="31"/>
    </row>
    <row r="40" spans="1:11" ht="15" customHeight="1" x14ac:dyDescent="0.25">
      <c r="A40" s="109"/>
      <c r="B40" s="8" t="s">
        <v>34</v>
      </c>
      <c r="C40" s="9">
        <f>C41+C42+C44</f>
        <v>526971.59000000008</v>
      </c>
      <c r="D40" s="9">
        <f>D41+D42+D44+D43</f>
        <v>615447.28999999992</v>
      </c>
      <c r="E40" s="9">
        <f>E41+E42+E44+E43</f>
        <v>823108.14</v>
      </c>
      <c r="F40" s="9">
        <f>F41+F42+F44+F43</f>
        <v>725250.05</v>
      </c>
      <c r="G40" s="61">
        <f>G41+G42+G44+G43</f>
        <v>539231.96</v>
      </c>
      <c r="H40" s="51">
        <f>H41+H42+H44</f>
        <v>670807.59</v>
      </c>
    </row>
    <row r="41" spans="1:11" x14ac:dyDescent="0.25">
      <c r="A41" s="110"/>
      <c r="B41" s="6" t="s">
        <v>8</v>
      </c>
      <c r="C41" s="10">
        <v>316313.27</v>
      </c>
      <c r="D41" s="10">
        <v>333565.86</v>
      </c>
      <c r="E41" s="10">
        <v>358384.85</v>
      </c>
      <c r="F41" s="10">
        <v>311441.09999999998</v>
      </c>
      <c r="G41" s="16">
        <v>387175.2</v>
      </c>
      <c r="H41" s="52">
        <v>327466.83</v>
      </c>
      <c r="I41" s="29"/>
      <c r="J41" s="30"/>
      <c r="K41" s="31"/>
    </row>
    <row r="42" spans="1:11" x14ac:dyDescent="0.25">
      <c r="A42" s="110"/>
      <c r="B42" s="6" t="s">
        <v>9</v>
      </c>
      <c r="C42" s="10">
        <v>210658.32</v>
      </c>
      <c r="D42" s="10">
        <f>82165.31+155778.75</f>
        <v>237944.06</v>
      </c>
      <c r="E42" s="10">
        <f>100164.99+218703.03</f>
        <v>318868.02</v>
      </c>
      <c r="F42" s="10">
        <f>350209.79+19848.85</f>
        <v>370058.63999999996</v>
      </c>
      <c r="G42" s="16">
        <f>129435.53+19621.23</f>
        <v>149056.76</v>
      </c>
      <c r="H42" s="52">
        <f>38218.1+301622.66</f>
        <v>339840.75999999995</v>
      </c>
      <c r="I42" s="29"/>
      <c r="J42" s="30"/>
      <c r="K42" s="31"/>
    </row>
    <row r="43" spans="1:11" x14ac:dyDescent="0.25">
      <c r="A43" s="110"/>
      <c r="B43" s="6" t="s">
        <v>65</v>
      </c>
      <c r="C43" s="10">
        <v>0</v>
      </c>
      <c r="D43" s="10">
        <v>43937.37</v>
      </c>
      <c r="E43" s="10">
        <v>145855.26999999999</v>
      </c>
      <c r="F43" s="10">
        <v>43750.31</v>
      </c>
      <c r="G43" s="16">
        <v>0</v>
      </c>
      <c r="H43" s="52"/>
      <c r="I43" s="29"/>
      <c r="J43" s="30"/>
      <c r="K43" s="31"/>
    </row>
    <row r="44" spans="1:11" x14ac:dyDescent="0.25">
      <c r="A44" s="111"/>
      <c r="B44" s="6" t="s">
        <v>27</v>
      </c>
      <c r="C44" s="10">
        <v>0</v>
      </c>
      <c r="D44" s="10">
        <v>0</v>
      </c>
      <c r="E44" s="10">
        <v>0</v>
      </c>
      <c r="F44" s="10">
        <v>0</v>
      </c>
      <c r="G44" s="16">
        <v>3000</v>
      </c>
      <c r="H44" s="52">
        <v>3500</v>
      </c>
      <c r="I44" s="29"/>
      <c r="J44" s="30"/>
      <c r="K44" s="31"/>
    </row>
    <row r="45" spans="1:11" x14ac:dyDescent="0.25">
      <c r="A45" s="109"/>
      <c r="B45" s="8" t="s">
        <v>35</v>
      </c>
      <c r="C45" s="9">
        <f>C46+C47+C49</f>
        <v>232718.75</v>
      </c>
      <c r="D45" s="9">
        <f>D46+D47+D49+D48</f>
        <v>212528.38</v>
      </c>
      <c r="E45" s="9">
        <f>E46+E47+E49+E48</f>
        <v>202624.21</v>
      </c>
      <c r="F45" s="9">
        <f>F46+F47+F49+F48</f>
        <v>260732.01</v>
      </c>
      <c r="G45" s="61">
        <f>G46+G47+G49+G48</f>
        <v>156875.85999999999</v>
      </c>
      <c r="H45" s="51">
        <f>H46+H47+H49</f>
        <v>413507.37</v>
      </c>
      <c r="I45" s="29"/>
      <c r="J45" s="30"/>
      <c r="K45" s="31"/>
    </row>
    <row r="46" spans="1:11" x14ac:dyDescent="0.25">
      <c r="A46" s="110"/>
      <c r="B46" s="6" t="s">
        <v>8</v>
      </c>
      <c r="C46" s="10">
        <v>104911.23</v>
      </c>
      <c r="D46" s="10">
        <v>112099.34</v>
      </c>
      <c r="E46" s="10">
        <v>103493.55</v>
      </c>
      <c r="F46" s="10">
        <v>88728.36</v>
      </c>
      <c r="G46" s="16">
        <f>123298.56</f>
        <v>123298.56</v>
      </c>
      <c r="H46" s="52">
        <v>101479.92</v>
      </c>
      <c r="I46" s="29"/>
      <c r="J46" s="30"/>
      <c r="K46" s="31"/>
    </row>
    <row r="47" spans="1:11" x14ac:dyDescent="0.25">
      <c r="A47" s="110"/>
      <c r="B47" s="2" t="s">
        <v>9</v>
      </c>
      <c r="C47" s="10">
        <v>48501.77</v>
      </c>
      <c r="D47" s="11">
        <f>7201.98+34484.86</f>
        <v>41686.839999999997</v>
      </c>
      <c r="E47" s="11">
        <f>24209.99+21342.89</f>
        <v>45552.880000000005</v>
      </c>
      <c r="F47" s="11">
        <f>46967.29+178.22</f>
        <v>47145.51</v>
      </c>
      <c r="G47" s="16">
        <f>24777.3+8800</f>
        <v>33577.300000000003</v>
      </c>
      <c r="H47" s="52">
        <v>58695.06</v>
      </c>
      <c r="I47" s="29"/>
    </row>
    <row r="48" spans="1:11" x14ac:dyDescent="0.25">
      <c r="A48" s="110"/>
      <c r="B48" s="2" t="s">
        <v>65</v>
      </c>
      <c r="C48" s="10">
        <v>0</v>
      </c>
      <c r="D48" s="11">
        <v>58742.2</v>
      </c>
      <c r="E48" s="11">
        <v>53577.78</v>
      </c>
      <c r="F48" s="11">
        <v>45552.39</v>
      </c>
      <c r="G48" s="16">
        <v>0</v>
      </c>
      <c r="H48" s="52">
        <v>0</v>
      </c>
      <c r="I48" s="29"/>
    </row>
    <row r="49" spans="1:10" x14ac:dyDescent="0.25">
      <c r="A49" s="111"/>
      <c r="B49" s="2" t="s">
        <v>27</v>
      </c>
      <c r="C49" s="10">
        <v>79305.75</v>
      </c>
      <c r="D49" s="11">
        <v>0</v>
      </c>
      <c r="E49" s="11">
        <v>0</v>
      </c>
      <c r="F49" s="11">
        <v>79305.75</v>
      </c>
      <c r="G49" s="16">
        <v>0</v>
      </c>
      <c r="H49" s="52">
        <v>253332.39</v>
      </c>
      <c r="I49" s="29"/>
    </row>
    <row r="50" spans="1:10" x14ac:dyDescent="0.25">
      <c r="A50" s="109"/>
      <c r="B50" s="12" t="s">
        <v>36</v>
      </c>
      <c r="C50" s="9">
        <f>C51+C52</f>
        <v>83197.63</v>
      </c>
      <c r="D50" s="13">
        <f>D51+D52+D54+D53</f>
        <v>189528.64</v>
      </c>
      <c r="E50" s="13">
        <f>E51+E52+E54+E53</f>
        <v>67029.25</v>
      </c>
      <c r="F50" s="13">
        <f>F51+F52+F54</f>
        <v>113333.79999999999</v>
      </c>
      <c r="G50" s="61">
        <f>G51+G52+G54+G53</f>
        <v>91634.93</v>
      </c>
      <c r="H50" s="53">
        <f>H51+H52+H54</f>
        <v>85153.799999999988</v>
      </c>
      <c r="I50" s="29"/>
    </row>
    <row r="51" spans="1:10" x14ac:dyDescent="0.25">
      <c r="A51" s="110"/>
      <c r="B51" s="2" t="s">
        <v>8</v>
      </c>
      <c r="C51" s="10">
        <v>49726.080000000002</v>
      </c>
      <c r="D51" s="11">
        <v>48164.19</v>
      </c>
      <c r="E51" s="11">
        <v>34052.959999999999</v>
      </c>
      <c r="F51" s="11">
        <v>39415.040000000001</v>
      </c>
      <c r="G51" s="16">
        <v>62374.32</v>
      </c>
      <c r="H51" s="52">
        <v>48100.27</v>
      </c>
      <c r="I51" s="29"/>
      <c r="J51" s="30"/>
    </row>
    <row r="52" spans="1:10" x14ac:dyDescent="0.25">
      <c r="A52" s="110"/>
      <c r="B52" s="2" t="s">
        <v>9</v>
      </c>
      <c r="C52" s="10">
        <v>33471.550000000003</v>
      </c>
      <c r="D52" s="16">
        <f>2149.61+16068.59-58.54</f>
        <v>18159.66</v>
      </c>
      <c r="E52" s="11">
        <f>16115.25+16861.04</f>
        <v>32976.29</v>
      </c>
      <c r="F52" s="11">
        <f>36263.92+37654.84</f>
        <v>73918.759999999995</v>
      </c>
      <c r="G52" s="16">
        <f>16935.16+325.45</f>
        <v>17260.61</v>
      </c>
      <c r="H52" s="52">
        <f>410.95+36642.58</f>
        <v>37053.53</v>
      </c>
      <c r="I52" s="29"/>
      <c r="J52" s="30"/>
    </row>
    <row r="53" spans="1:10" x14ac:dyDescent="0.25">
      <c r="A53" s="110"/>
      <c r="B53" s="2" t="s">
        <v>65</v>
      </c>
      <c r="C53" s="10">
        <v>0</v>
      </c>
      <c r="D53" s="11">
        <v>123204.79</v>
      </c>
      <c r="E53" s="11">
        <v>0</v>
      </c>
      <c r="F53" s="11">
        <v>0</v>
      </c>
      <c r="G53" s="16">
        <v>12000</v>
      </c>
      <c r="H53" s="52">
        <v>0</v>
      </c>
      <c r="I53" s="29"/>
      <c r="J53" s="30"/>
    </row>
    <row r="54" spans="1:10" x14ac:dyDescent="0.25">
      <c r="A54" s="111"/>
      <c r="B54" s="2" t="s">
        <v>27</v>
      </c>
      <c r="C54" s="10">
        <v>0</v>
      </c>
      <c r="D54" s="11">
        <v>0</v>
      </c>
      <c r="E54" s="11">
        <v>0</v>
      </c>
      <c r="F54" s="11">
        <v>0</v>
      </c>
      <c r="G54" s="16">
        <v>0</v>
      </c>
      <c r="H54" s="52">
        <v>0</v>
      </c>
      <c r="I54" s="29"/>
    </row>
    <row r="55" spans="1:10" x14ac:dyDescent="0.25">
      <c r="A55" s="109"/>
      <c r="B55" s="14" t="s">
        <v>37</v>
      </c>
      <c r="C55" s="9">
        <f t="shared" ref="C55" si="2">C56+C57+C59</f>
        <v>77056.53</v>
      </c>
      <c r="D55" s="13">
        <f>D56+D57+D58+D59</f>
        <v>93539.510000000009</v>
      </c>
      <c r="E55" s="13">
        <f t="shared" ref="E55" si="3">E56+E57+E59</f>
        <v>71682.2</v>
      </c>
      <c r="F55" s="13">
        <f>F56+F57+F59</f>
        <v>111479.41999999998</v>
      </c>
      <c r="G55" s="61">
        <f>G56+G57+G59+G58</f>
        <v>56559.509999999995</v>
      </c>
      <c r="H55" s="53">
        <f>H56+H57+H59</f>
        <v>68907.600000000006</v>
      </c>
      <c r="I55" s="29"/>
    </row>
    <row r="56" spans="1:10" x14ac:dyDescent="0.25">
      <c r="A56" s="110"/>
      <c r="B56" s="2" t="s">
        <v>8</v>
      </c>
      <c r="C56" s="10">
        <v>46279.5</v>
      </c>
      <c r="D56" s="11">
        <v>38991</v>
      </c>
      <c r="E56" s="11">
        <v>37755.71</v>
      </c>
      <c r="F56" s="11">
        <v>35475.65</v>
      </c>
      <c r="G56" s="16">
        <v>37398.129999999997</v>
      </c>
      <c r="H56" s="52">
        <v>29832.29</v>
      </c>
      <c r="I56" s="29"/>
    </row>
    <row r="57" spans="1:10" x14ac:dyDescent="0.25">
      <c r="A57" s="110"/>
      <c r="B57" s="2" t="s">
        <v>9</v>
      </c>
      <c r="C57" s="10">
        <v>30777.03</v>
      </c>
      <c r="D57" s="11">
        <f>2725.01+16208.37</f>
        <v>18933.38</v>
      </c>
      <c r="E57" s="11">
        <f>16134.97+17791.52</f>
        <v>33926.49</v>
      </c>
      <c r="F57" s="11">
        <f>37419.43+38584.34</f>
        <v>76003.76999999999</v>
      </c>
      <c r="G57" s="16">
        <f>18124.93+1036.45</f>
        <v>19161.38</v>
      </c>
      <c r="H57" s="52">
        <f>1359.45+37715.86</f>
        <v>39075.31</v>
      </c>
      <c r="I57" s="29"/>
    </row>
    <row r="58" spans="1:10" x14ac:dyDescent="0.25">
      <c r="A58" s="110"/>
      <c r="B58" s="2" t="s">
        <v>65</v>
      </c>
      <c r="C58" s="10">
        <v>0</v>
      </c>
      <c r="D58" s="11">
        <v>35615.129999999997</v>
      </c>
      <c r="E58" s="11">
        <v>0</v>
      </c>
      <c r="F58" s="11">
        <v>0</v>
      </c>
      <c r="G58" s="16">
        <v>0</v>
      </c>
      <c r="H58" s="52">
        <v>0</v>
      </c>
      <c r="I58" s="29"/>
    </row>
    <row r="59" spans="1:10" x14ac:dyDescent="0.25">
      <c r="A59" s="111"/>
      <c r="B59" s="2" t="s">
        <v>27</v>
      </c>
      <c r="C59" s="10">
        <v>0</v>
      </c>
      <c r="D59" s="11">
        <v>0</v>
      </c>
      <c r="E59" s="11">
        <v>0</v>
      </c>
      <c r="F59" s="11">
        <v>0</v>
      </c>
      <c r="G59" s="16">
        <v>0</v>
      </c>
      <c r="H59" s="52">
        <v>0</v>
      </c>
      <c r="I59" s="29"/>
    </row>
    <row r="60" spans="1:10" ht="26.25" x14ac:dyDescent="0.25">
      <c r="A60" s="109"/>
      <c r="B60" s="14" t="s">
        <v>41</v>
      </c>
      <c r="C60" s="9">
        <f t="shared" ref="C60" si="4">C61+C62+C64</f>
        <v>91700.36</v>
      </c>
      <c r="D60" s="13">
        <f>D61+D62+D64+D63</f>
        <v>193261.27000000002</v>
      </c>
      <c r="E60" s="13">
        <f>E61+E62+E64+E63</f>
        <v>124546.41999999998</v>
      </c>
      <c r="F60" s="13">
        <f>F61+F62+F64</f>
        <v>60148.36</v>
      </c>
      <c r="G60" s="61">
        <f>G61+G62+G64+G63</f>
        <v>40719.17</v>
      </c>
      <c r="H60" s="53">
        <f>H61+H62+H64</f>
        <v>59570.79</v>
      </c>
      <c r="I60" s="29"/>
    </row>
    <row r="61" spans="1:10" x14ac:dyDescent="0.25">
      <c r="A61" s="110"/>
      <c r="B61" s="2" t="s">
        <v>8</v>
      </c>
      <c r="C61" s="10">
        <v>46836.79</v>
      </c>
      <c r="D61" s="11">
        <v>48108.81</v>
      </c>
      <c r="E61" s="11">
        <v>31050.98</v>
      </c>
      <c r="F61" s="11">
        <v>21591.51</v>
      </c>
      <c r="G61" s="16">
        <v>21550.84</v>
      </c>
      <c r="H61" s="52">
        <v>21461.57</v>
      </c>
      <c r="I61" s="29"/>
    </row>
    <row r="62" spans="1:10" x14ac:dyDescent="0.25">
      <c r="A62" s="110"/>
      <c r="B62" s="2" t="s">
        <v>9</v>
      </c>
      <c r="C62" s="10">
        <v>44863.57</v>
      </c>
      <c r="D62" s="11">
        <f>2540.39+15278.4</f>
        <v>17818.79</v>
      </c>
      <c r="E62" s="11">
        <f>11739.22+17425.34</f>
        <v>29164.559999999998</v>
      </c>
      <c r="F62" s="11">
        <f>36865.9+1690.95</f>
        <v>38556.85</v>
      </c>
      <c r="G62" s="16">
        <f>17785.18+1383.15</f>
        <v>19168.330000000002</v>
      </c>
      <c r="H62" s="52">
        <f>542.01+37567.21</f>
        <v>38109.22</v>
      </c>
      <c r="I62" s="29"/>
    </row>
    <row r="63" spans="1:10" x14ac:dyDescent="0.25">
      <c r="A63" s="110"/>
      <c r="B63" s="2" t="s">
        <v>65</v>
      </c>
      <c r="C63" s="10">
        <v>0</v>
      </c>
      <c r="D63" s="11">
        <v>127333.67</v>
      </c>
      <c r="E63" s="11">
        <v>64330.879999999997</v>
      </c>
      <c r="F63" s="11">
        <v>0</v>
      </c>
      <c r="G63" s="16">
        <v>0</v>
      </c>
      <c r="H63" s="52">
        <v>0</v>
      </c>
      <c r="I63" s="29"/>
    </row>
    <row r="64" spans="1:10" x14ac:dyDescent="0.25">
      <c r="A64" s="111"/>
      <c r="B64" s="6" t="s">
        <v>27</v>
      </c>
      <c r="C64" s="26">
        <v>0</v>
      </c>
      <c r="D64" s="15">
        <v>0</v>
      </c>
      <c r="E64" s="15">
        <v>0</v>
      </c>
      <c r="F64" s="11">
        <v>0</v>
      </c>
      <c r="G64" s="62">
        <v>0</v>
      </c>
      <c r="H64" s="54">
        <v>0</v>
      </c>
      <c r="I64" s="29"/>
    </row>
    <row r="65" spans="1:9" ht="26.25" x14ac:dyDescent="0.25">
      <c r="A65" s="109"/>
      <c r="B65" s="12" t="s">
        <v>10</v>
      </c>
      <c r="C65" s="9">
        <f>C66+C67</f>
        <v>60968.15</v>
      </c>
      <c r="D65" s="13">
        <f>D66+D67+D68+D69</f>
        <v>135588.77000000002</v>
      </c>
      <c r="E65" s="13">
        <f>E66+E67+E68+E69</f>
        <v>47581.760000000002</v>
      </c>
      <c r="F65" s="13">
        <f>F66+F67</f>
        <v>51535.79</v>
      </c>
      <c r="G65" s="61">
        <f>G66+G67+G68+G69</f>
        <v>60001.54</v>
      </c>
      <c r="H65" s="53">
        <f>H66+H67</f>
        <v>54700.18</v>
      </c>
      <c r="I65" s="29"/>
    </row>
    <row r="66" spans="1:9" x14ac:dyDescent="0.25">
      <c r="A66" s="110"/>
      <c r="B66" s="2" t="s">
        <v>8</v>
      </c>
      <c r="C66" s="10">
        <v>49433.23</v>
      </c>
      <c r="D66" s="11">
        <v>50716.21</v>
      </c>
      <c r="E66" s="11">
        <v>38933.61</v>
      </c>
      <c r="F66" s="11">
        <v>37974.870000000003</v>
      </c>
      <c r="G66" s="16">
        <v>55816.4</v>
      </c>
      <c r="H66" s="52">
        <v>41957.8</v>
      </c>
      <c r="I66" s="29"/>
    </row>
    <row r="67" spans="1:9" x14ac:dyDescent="0.25">
      <c r="A67" s="110"/>
      <c r="B67" s="2" t="s">
        <v>9</v>
      </c>
      <c r="C67" s="10">
        <v>11534.92</v>
      </c>
      <c r="D67" s="11">
        <f>852.48+16558.36</f>
        <v>17410.84</v>
      </c>
      <c r="E67" s="11">
        <f>5984.44+2663.71</f>
        <v>8648.15</v>
      </c>
      <c r="F67" s="11">
        <f>12291.27+1269.65</f>
        <v>13560.92</v>
      </c>
      <c r="G67" s="16">
        <f>4070.89+114.25</f>
        <v>4185.1399999999994</v>
      </c>
      <c r="H67" s="52">
        <f>131.05+12611.33</f>
        <v>12742.38</v>
      </c>
      <c r="I67" s="29"/>
    </row>
    <row r="68" spans="1:9" x14ac:dyDescent="0.25">
      <c r="A68" s="110"/>
      <c r="B68" s="2" t="s">
        <v>65</v>
      </c>
      <c r="C68" s="10">
        <v>0</v>
      </c>
      <c r="D68" s="11">
        <v>67461.72</v>
      </c>
      <c r="E68" s="11">
        <v>0</v>
      </c>
      <c r="F68" s="11">
        <v>0</v>
      </c>
      <c r="G68" s="16">
        <v>0</v>
      </c>
      <c r="H68" s="52">
        <v>0</v>
      </c>
      <c r="I68" s="29"/>
    </row>
    <row r="69" spans="1:9" x14ac:dyDescent="0.25">
      <c r="A69" s="111"/>
      <c r="B69" s="2" t="s">
        <v>27</v>
      </c>
      <c r="C69" s="10">
        <v>0</v>
      </c>
      <c r="D69" s="11">
        <v>0</v>
      </c>
      <c r="E69" s="11">
        <v>0</v>
      </c>
      <c r="F69" s="11">
        <v>0</v>
      </c>
      <c r="G69" s="16">
        <v>0</v>
      </c>
      <c r="H69" s="52">
        <v>0</v>
      </c>
      <c r="I69" s="29"/>
    </row>
    <row r="70" spans="1:9" ht="26.25" x14ac:dyDescent="0.25">
      <c r="A70" s="109"/>
      <c r="B70" s="14" t="s">
        <v>40</v>
      </c>
      <c r="C70" s="9">
        <f t="shared" ref="C70" si="5">C71+C72</f>
        <v>661267.54</v>
      </c>
      <c r="D70" s="13">
        <f>D71+D72+D73+D74</f>
        <v>734974.84000000008</v>
      </c>
      <c r="E70" s="13">
        <f>E71+E72+E73+E74</f>
        <v>839382.2699999999</v>
      </c>
      <c r="F70" s="13">
        <f>F71+F72</f>
        <v>1067400.06</v>
      </c>
      <c r="G70" s="61">
        <f>G71+G72+G73+G74</f>
        <v>784892.90999999992</v>
      </c>
      <c r="H70" s="53">
        <f>H71+H72</f>
        <v>1114838.46</v>
      </c>
      <c r="I70" s="29"/>
    </row>
    <row r="71" spans="1:9" x14ac:dyDescent="0.25">
      <c r="A71" s="110"/>
      <c r="B71" s="2" t="s">
        <v>8</v>
      </c>
      <c r="C71" s="10">
        <v>221999.87</v>
      </c>
      <c r="D71" s="11">
        <v>190927.98</v>
      </c>
      <c r="E71" s="11">
        <v>192003.73</v>
      </c>
      <c r="F71" s="11">
        <v>204128.22</v>
      </c>
      <c r="G71" s="16">
        <v>204969.18</v>
      </c>
      <c r="H71" s="52">
        <v>181517.33</v>
      </c>
      <c r="I71" s="29"/>
    </row>
    <row r="72" spans="1:9" x14ac:dyDescent="0.25">
      <c r="A72" s="110"/>
      <c r="B72" s="2" t="s">
        <v>9</v>
      </c>
      <c r="C72" s="10">
        <v>439267.67</v>
      </c>
      <c r="D72" s="11">
        <f>17733.44+479635.76</f>
        <v>497369.2</v>
      </c>
      <c r="E72" s="11">
        <f>62776.35+558624.32</f>
        <v>621400.66999999993</v>
      </c>
      <c r="F72" s="11">
        <f>66993.46+796278.38</f>
        <v>863271.84</v>
      </c>
      <c r="G72" s="16">
        <f>268911.53+311012.2</f>
        <v>579923.73</v>
      </c>
      <c r="H72" s="52">
        <f>1850+931471.13</f>
        <v>933321.13</v>
      </c>
      <c r="I72" s="29"/>
    </row>
    <row r="73" spans="1:9" x14ac:dyDescent="0.25">
      <c r="A73" s="110"/>
      <c r="B73" s="2" t="s">
        <v>65</v>
      </c>
      <c r="C73" s="10">
        <v>0</v>
      </c>
      <c r="D73" s="11">
        <v>46677.66</v>
      </c>
      <c r="E73" s="11">
        <v>25977.87</v>
      </c>
      <c r="F73" s="11">
        <v>0</v>
      </c>
      <c r="G73" s="16">
        <v>0</v>
      </c>
      <c r="H73" s="52">
        <v>0</v>
      </c>
      <c r="I73" s="29"/>
    </row>
    <row r="74" spans="1:9" x14ac:dyDescent="0.25">
      <c r="A74" s="111"/>
      <c r="B74" s="2" t="s">
        <v>27</v>
      </c>
      <c r="C74" s="10">
        <v>0</v>
      </c>
      <c r="D74" s="11">
        <v>0</v>
      </c>
      <c r="E74" s="11">
        <v>0</v>
      </c>
      <c r="F74" s="11">
        <v>0</v>
      </c>
      <c r="G74" s="16">
        <v>0</v>
      </c>
      <c r="H74" s="52">
        <v>0</v>
      </c>
      <c r="I74" s="29"/>
    </row>
    <row r="75" spans="1:9" ht="14.25" customHeight="1" x14ac:dyDescent="0.25">
      <c r="A75" s="109"/>
      <c r="B75" s="8" t="s">
        <v>11</v>
      </c>
      <c r="C75" s="9">
        <f t="shared" ref="C75" si="6">C76+C77+C79</f>
        <v>228229.87</v>
      </c>
      <c r="D75" s="13">
        <f>D76+D77+D79+D78</f>
        <v>292404.37</v>
      </c>
      <c r="E75" s="13">
        <f>E76+E77+E79+E78</f>
        <v>313710.28000000003</v>
      </c>
      <c r="F75" s="13">
        <f>F76+F77+F79+F78</f>
        <v>344288.19</v>
      </c>
      <c r="G75" s="61">
        <f>G76+G77+G79+G78</f>
        <v>191242.51</v>
      </c>
      <c r="H75" s="53">
        <f>H76+H77+H79</f>
        <v>243168.09</v>
      </c>
      <c r="I75" s="29"/>
    </row>
    <row r="76" spans="1:9" x14ac:dyDescent="0.25">
      <c r="A76" s="110"/>
      <c r="B76" s="6" t="s">
        <v>8</v>
      </c>
      <c r="C76" s="26">
        <v>144877.26</v>
      </c>
      <c r="D76" s="15">
        <v>150160.63</v>
      </c>
      <c r="E76" s="15">
        <v>126003.24</v>
      </c>
      <c r="F76" s="11">
        <v>121686.18</v>
      </c>
      <c r="G76" s="62">
        <v>127170.86</v>
      </c>
      <c r="H76" s="54">
        <v>114538.67</v>
      </c>
      <c r="I76" s="29"/>
    </row>
    <row r="77" spans="1:9" x14ac:dyDescent="0.25">
      <c r="A77" s="110"/>
      <c r="B77" s="6" t="s">
        <v>9</v>
      </c>
      <c r="C77" s="26">
        <v>83352.61</v>
      </c>
      <c r="D77" s="15">
        <f>15969.03+42052.67</f>
        <v>58021.7</v>
      </c>
      <c r="E77" s="15">
        <f>45768.69+52723.79</f>
        <v>98492.48000000001</v>
      </c>
      <c r="F77" s="11">
        <f>121319.17+2877.27</f>
        <v>124196.44</v>
      </c>
      <c r="G77" s="62">
        <f>61071.65+3000</f>
        <v>64071.65</v>
      </c>
      <c r="H77" s="54">
        <v>128629.42</v>
      </c>
      <c r="I77" s="29"/>
    </row>
    <row r="78" spans="1:9" x14ac:dyDescent="0.25">
      <c r="A78" s="110"/>
      <c r="B78" s="2" t="s">
        <v>65</v>
      </c>
      <c r="C78" s="26">
        <v>0</v>
      </c>
      <c r="D78" s="15">
        <v>84222.04</v>
      </c>
      <c r="E78" s="15">
        <v>89214.56</v>
      </c>
      <c r="F78" s="11">
        <v>98405.57</v>
      </c>
      <c r="G78" s="62">
        <v>0</v>
      </c>
      <c r="H78" s="54">
        <v>0</v>
      </c>
      <c r="I78" s="29"/>
    </row>
    <row r="79" spans="1:9" x14ac:dyDescent="0.25">
      <c r="A79" s="111"/>
      <c r="B79" s="6" t="s">
        <v>27</v>
      </c>
      <c r="C79" s="26">
        <v>0</v>
      </c>
      <c r="D79" s="15">
        <v>0</v>
      </c>
      <c r="E79" s="15">
        <v>0</v>
      </c>
      <c r="F79" s="11">
        <v>0</v>
      </c>
      <c r="G79" s="62">
        <v>0</v>
      </c>
      <c r="H79" s="54">
        <v>0</v>
      </c>
      <c r="I79" s="29"/>
    </row>
    <row r="80" spans="1:9" ht="18" customHeight="1" x14ac:dyDescent="0.25">
      <c r="A80" s="109"/>
      <c r="B80" s="17" t="s">
        <v>12</v>
      </c>
      <c r="C80" s="9">
        <f t="shared" ref="C80" si="7">C81+C82</f>
        <v>0</v>
      </c>
      <c r="D80" s="13">
        <f>D81+D82</f>
        <v>0</v>
      </c>
      <c r="E80" s="96">
        <f t="shared" ref="E80:H80" si="8">E81+E82</f>
        <v>0</v>
      </c>
      <c r="F80" s="13">
        <f>F81+F82</f>
        <v>0</v>
      </c>
      <c r="G80" s="61">
        <f>G81+G82+G83</f>
        <v>0</v>
      </c>
      <c r="H80" s="53">
        <f t="shared" si="8"/>
        <v>0</v>
      </c>
      <c r="I80" s="29"/>
    </row>
    <row r="81" spans="1:9" x14ac:dyDescent="0.25">
      <c r="A81" s="110"/>
      <c r="B81" s="6" t="s">
        <v>8</v>
      </c>
      <c r="C81" s="10">
        <v>0</v>
      </c>
      <c r="D81" s="11">
        <v>0</v>
      </c>
      <c r="E81" s="97">
        <v>0</v>
      </c>
      <c r="F81" s="11">
        <v>0</v>
      </c>
      <c r="G81" s="16">
        <v>0</v>
      </c>
      <c r="H81" s="52">
        <v>0</v>
      </c>
      <c r="I81" s="29"/>
    </row>
    <row r="82" spans="1:9" x14ac:dyDescent="0.25">
      <c r="A82" s="110"/>
      <c r="B82" s="6" t="s">
        <v>9</v>
      </c>
      <c r="C82" s="10">
        <v>0</v>
      </c>
      <c r="D82" s="11">
        <v>0</v>
      </c>
      <c r="E82" s="97">
        <v>0</v>
      </c>
      <c r="F82" s="11">
        <v>0</v>
      </c>
      <c r="G82" s="16">
        <v>0</v>
      </c>
      <c r="H82" s="52">
        <v>0</v>
      </c>
      <c r="I82" s="29"/>
    </row>
    <row r="83" spans="1:9" x14ac:dyDescent="0.25">
      <c r="A83" s="111"/>
      <c r="B83" s="2" t="s">
        <v>65</v>
      </c>
      <c r="C83" s="10">
        <v>0</v>
      </c>
      <c r="D83" s="11">
        <v>0</v>
      </c>
      <c r="E83" s="97">
        <v>0</v>
      </c>
      <c r="F83" s="11">
        <v>0</v>
      </c>
      <c r="G83" s="16">
        <v>0</v>
      </c>
      <c r="H83" s="52">
        <v>0</v>
      </c>
      <c r="I83" s="29"/>
    </row>
    <row r="84" spans="1:9" x14ac:dyDescent="0.25">
      <c r="A84" s="109"/>
      <c r="B84" s="14" t="s">
        <v>66</v>
      </c>
      <c r="C84" s="32">
        <f>SUM(C85:C87)</f>
        <v>0</v>
      </c>
      <c r="D84" s="32">
        <f>SUM(D85:D87)</f>
        <v>17922.02</v>
      </c>
      <c r="E84" s="98">
        <f>E85+E86+E87</f>
        <v>50686.11</v>
      </c>
      <c r="F84" s="84">
        <f>F85+F86+F87+F88</f>
        <v>426263.76</v>
      </c>
      <c r="G84" s="63">
        <f>SUM(G85:G88)</f>
        <v>84209.71</v>
      </c>
      <c r="H84" s="85">
        <f>SUM(H85:H88)</f>
        <v>78799.34</v>
      </c>
      <c r="I84" s="29"/>
    </row>
    <row r="85" spans="1:9" x14ac:dyDescent="0.25">
      <c r="A85" s="110"/>
      <c r="B85" s="6" t="s">
        <v>8</v>
      </c>
      <c r="C85" s="10">
        <v>0</v>
      </c>
      <c r="D85" s="11">
        <v>17922.02</v>
      </c>
      <c r="E85" s="97">
        <v>41958.080000000002</v>
      </c>
      <c r="F85" s="11">
        <v>42368.61</v>
      </c>
      <c r="G85" s="16">
        <v>71430.86</v>
      </c>
      <c r="H85" s="52">
        <v>72001.55</v>
      </c>
      <c r="I85" s="29"/>
    </row>
    <row r="86" spans="1:9" x14ac:dyDescent="0.25">
      <c r="A86" s="110"/>
      <c r="B86" s="6" t="s">
        <v>9</v>
      </c>
      <c r="C86" s="10">
        <v>0</v>
      </c>
      <c r="D86" s="11">
        <v>0</v>
      </c>
      <c r="E86" s="97">
        <f>8352.15+375.88</f>
        <v>8728.0299999999988</v>
      </c>
      <c r="F86" s="11">
        <f>10223.95+183.68</f>
        <v>10407.630000000001</v>
      </c>
      <c r="G86" s="16">
        <f>9593.02+3185.83</f>
        <v>12778.85</v>
      </c>
      <c r="H86" s="52">
        <v>6797.79</v>
      </c>
      <c r="I86" s="29"/>
    </row>
    <row r="87" spans="1:9" x14ac:dyDescent="0.25">
      <c r="A87" s="111"/>
      <c r="B87" s="2" t="s">
        <v>65</v>
      </c>
      <c r="C87" s="10">
        <v>0</v>
      </c>
      <c r="D87" s="11">
        <v>0</v>
      </c>
      <c r="E87" s="97">
        <v>0</v>
      </c>
      <c r="F87" s="11">
        <v>0</v>
      </c>
      <c r="G87" s="16">
        <v>0</v>
      </c>
      <c r="H87" s="52">
        <v>0</v>
      </c>
      <c r="I87" s="29"/>
    </row>
    <row r="88" spans="1:9" x14ac:dyDescent="0.25">
      <c r="A88" s="91"/>
      <c r="B88" s="2" t="s">
        <v>27</v>
      </c>
      <c r="C88" s="10">
        <v>0</v>
      </c>
      <c r="D88" s="11">
        <v>0</v>
      </c>
      <c r="E88" s="97">
        <v>0</v>
      </c>
      <c r="F88" s="11">
        <v>373487.52</v>
      </c>
      <c r="G88" s="16">
        <v>0</v>
      </c>
      <c r="H88" s="52">
        <v>0</v>
      </c>
      <c r="I88" s="29"/>
    </row>
    <row r="89" spans="1:9" x14ac:dyDescent="0.25">
      <c r="A89" s="109"/>
      <c r="B89" s="17" t="s">
        <v>39</v>
      </c>
      <c r="C89" s="9">
        <f>C90+C91</f>
        <v>0</v>
      </c>
      <c r="D89" s="13">
        <f>D90+D91</f>
        <v>0</v>
      </c>
      <c r="E89" s="96">
        <f t="shared" ref="E89:H89" si="9">E90+E91</f>
        <v>0</v>
      </c>
      <c r="F89" s="13">
        <f>F90+F91</f>
        <v>1517330.68</v>
      </c>
      <c r="G89" s="61">
        <f>G90+G91+G92</f>
        <v>3661757.35</v>
      </c>
      <c r="H89" s="53">
        <f t="shared" si="9"/>
        <v>2803931.7800000003</v>
      </c>
      <c r="I89" s="29"/>
    </row>
    <row r="90" spans="1:9" x14ac:dyDescent="0.25">
      <c r="A90" s="110"/>
      <c r="B90" s="6" t="s">
        <v>8</v>
      </c>
      <c r="C90" s="10">
        <v>0</v>
      </c>
      <c r="D90" s="11">
        <v>0</v>
      </c>
      <c r="E90" s="97">
        <v>0</v>
      </c>
      <c r="F90" s="11">
        <v>0</v>
      </c>
      <c r="G90" s="16">
        <v>0</v>
      </c>
      <c r="H90" s="52">
        <v>950.7</v>
      </c>
      <c r="I90" s="29"/>
    </row>
    <row r="91" spans="1:9" x14ac:dyDescent="0.25">
      <c r="A91" s="110"/>
      <c r="B91" s="6" t="s">
        <v>9</v>
      </c>
      <c r="C91" s="10">
        <v>0</v>
      </c>
      <c r="D91" s="11">
        <v>0</v>
      </c>
      <c r="E91" s="97">
        <v>0</v>
      </c>
      <c r="F91" s="11">
        <v>1517330.68</v>
      </c>
      <c r="G91" s="16">
        <v>3661757.35</v>
      </c>
      <c r="H91" s="52">
        <v>2802981.08</v>
      </c>
      <c r="I91" s="29"/>
    </row>
    <row r="92" spans="1:9" x14ac:dyDescent="0.25">
      <c r="A92" s="111"/>
      <c r="B92" s="2" t="s">
        <v>65</v>
      </c>
      <c r="C92" s="10">
        <v>0</v>
      </c>
      <c r="D92" s="11">
        <v>0</v>
      </c>
      <c r="E92" s="97">
        <v>0</v>
      </c>
      <c r="F92" s="11">
        <v>0</v>
      </c>
      <c r="G92" s="16">
        <v>0</v>
      </c>
      <c r="H92" s="52">
        <v>0</v>
      </c>
      <c r="I92" s="29"/>
    </row>
    <row r="93" spans="1:9" x14ac:dyDescent="0.25">
      <c r="A93" s="109"/>
      <c r="B93" s="17" t="s">
        <v>38</v>
      </c>
      <c r="C93" s="9">
        <f t="shared" ref="C93" si="10">SUM(C94:C97)</f>
        <v>1405114.3599999999</v>
      </c>
      <c r="D93" s="13">
        <f>SUM(D94:D98)</f>
        <v>1532360.91</v>
      </c>
      <c r="E93" s="96">
        <f>SUM(E94:E98)</f>
        <v>1598612.27</v>
      </c>
      <c r="F93" s="13">
        <f>SUM(F94:F98)</f>
        <v>1703343.3900000001</v>
      </c>
      <c r="G93" s="61">
        <f>SUM(G94:G98)</f>
        <v>1455126.16</v>
      </c>
      <c r="H93" s="53">
        <f>SUM(H94:H98)</f>
        <v>1477382.67</v>
      </c>
      <c r="I93" s="29"/>
    </row>
    <row r="94" spans="1:9" x14ac:dyDescent="0.25">
      <c r="A94" s="110"/>
      <c r="B94" s="6" t="s">
        <v>8</v>
      </c>
      <c r="C94" s="10">
        <v>74389.460000000006</v>
      </c>
      <c r="D94" s="11">
        <v>75949.070000000007</v>
      </c>
      <c r="E94" s="97">
        <v>57819.44</v>
      </c>
      <c r="F94" s="11">
        <v>58402.080000000002</v>
      </c>
      <c r="G94" s="16">
        <v>72822.210000000006</v>
      </c>
      <c r="H94" s="52">
        <v>55665.2</v>
      </c>
      <c r="I94" s="29"/>
    </row>
    <row r="95" spans="1:9" x14ac:dyDescent="0.25">
      <c r="A95" s="110"/>
      <c r="B95" s="6" t="s">
        <v>24</v>
      </c>
      <c r="C95" s="26">
        <v>1290281.1499999999</v>
      </c>
      <c r="D95" s="11">
        <v>1285448.56</v>
      </c>
      <c r="E95" s="97">
        <v>1506158</v>
      </c>
      <c r="F95" s="11">
        <v>1322053.3</v>
      </c>
      <c r="G95" s="16">
        <v>1359304.56</v>
      </c>
      <c r="H95" s="52">
        <v>1352524.93</v>
      </c>
      <c r="I95" s="29"/>
    </row>
    <row r="96" spans="1:9" x14ac:dyDescent="0.25">
      <c r="A96" s="110"/>
      <c r="B96" s="6" t="s">
        <v>9</v>
      </c>
      <c r="C96" s="16">
        <f>1585.8+11475</f>
        <v>13060.8</v>
      </c>
      <c r="D96" s="16">
        <v>1136.6300000000001</v>
      </c>
      <c r="E96" s="99">
        <f>698.88+287.93+869.78</f>
        <v>1856.59</v>
      </c>
      <c r="F96" s="16">
        <f>1084.65+301789.6</f>
        <v>302874.25</v>
      </c>
      <c r="G96" s="16">
        <v>3653.63</v>
      </c>
      <c r="H96" s="52">
        <v>51865.47</v>
      </c>
      <c r="I96" s="29"/>
    </row>
    <row r="97" spans="1:9" x14ac:dyDescent="0.25">
      <c r="A97" s="110"/>
      <c r="B97" s="6" t="s">
        <v>26</v>
      </c>
      <c r="C97" s="10">
        <v>27382.95</v>
      </c>
      <c r="D97" s="11">
        <v>27382.95</v>
      </c>
      <c r="E97" s="97">
        <v>27382.95</v>
      </c>
      <c r="F97" s="11">
        <v>12594</v>
      </c>
      <c r="G97" s="16">
        <v>12594</v>
      </c>
      <c r="H97" s="52">
        <v>12594</v>
      </c>
      <c r="I97" s="29"/>
    </row>
    <row r="98" spans="1:9" x14ac:dyDescent="0.25">
      <c r="A98" s="111"/>
      <c r="B98" s="2" t="s">
        <v>65</v>
      </c>
      <c r="C98" s="10">
        <v>0</v>
      </c>
      <c r="D98" s="11">
        <v>142443.70000000001</v>
      </c>
      <c r="E98" s="97">
        <v>5395.29</v>
      </c>
      <c r="F98" s="11">
        <v>7419.76</v>
      </c>
      <c r="G98" s="16">
        <v>6751.76</v>
      </c>
      <c r="H98" s="52">
        <v>4733.07</v>
      </c>
      <c r="I98" s="29"/>
    </row>
    <row r="99" spans="1:9" x14ac:dyDescent="0.25">
      <c r="A99" s="109"/>
      <c r="B99" s="17" t="s">
        <v>13</v>
      </c>
      <c r="C99" s="9">
        <f>SUM(C100:C102)</f>
        <v>6626661.8100000005</v>
      </c>
      <c r="D99" s="13">
        <f>SUM(D100:D102)</f>
        <v>5969121.0130000003</v>
      </c>
      <c r="E99" s="96">
        <f>SUM(E100:E103)</f>
        <v>6747895.2000000011</v>
      </c>
      <c r="F99" s="13">
        <f>SUM(F100:F103)</f>
        <v>5860722.9300000006</v>
      </c>
      <c r="G99" s="61">
        <f>SUM(G100:G103)</f>
        <v>7935399.8499999996</v>
      </c>
      <c r="H99" s="53">
        <f>SUM(H100:H103)</f>
        <v>6340061.7199999997</v>
      </c>
      <c r="I99" s="29"/>
    </row>
    <row r="100" spans="1:9" x14ac:dyDescent="0.25">
      <c r="A100" s="110"/>
      <c r="B100" s="6" t="s">
        <v>8</v>
      </c>
      <c r="C100" s="10">
        <v>220448.49</v>
      </c>
      <c r="D100" s="11">
        <v>219345.92000000001</v>
      </c>
      <c r="E100" s="97">
        <v>210170.3</v>
      </c>
      <c r="F100" s="11">
        <v>215560.49</v>
      </c>
      <c r="G100" s="16">
        <v>258361.34</v>
      </c>
      <c r="H100" s="67">
        <v>207225.08</v>
      </c>
      <c r="I100" s="29"/>
    </row>
    <row r="101" spans="1:9" ht="16.5" customHeight="1" x14ac:dyDescent="0.25">
      <c r="A101" s="110"/>
      <c r="B101" s="6" t="s">
        <v>25</v>
      </c>
      <c r="C101" s="26">
        <v>6376724.29</v>
      </c>
      <c r="D101" s="11">
        <v>5727700.2800000003</v>
      </c>
      <c r="E101" s="97">
        <f>815316.02+3304783.85+2034570.07+349354.02+5922.36</f>
        <v>6509946.3200000012</v>
      </c>
      <c r="F101" s="11">
        <f>715363.32+3105277.78+1780653.53+9332.91</f>
        <v>5610627.54</v>
      </c>
      <c r="G101" s="16">
        <f>749603.29+3448897.11+3445372.03+10068.01</f>
        <v>7653940.4399999995</v>
      </c>
      <c r="H101" s="67">
        <f>772502.19+3237797.45+2041314.89+11648.88+30939.27</f>
        <v>6094202.6799999997</v>
      </c>
      <c r="I101" s="29"/>
    </row>
    <row r="102" spans="1:9" x14ac:dyDescent="0.25">
      <c r="A102" s="110"/>
      <c r="B102" s="6" t="s">
        <v>9</v>
      </c>
      <c r="C102" s="10">
        <f>29394.03+95</f>
        <v>29489.03</v>
      </c>
      <c r="D102" s="16">
        <v>22074.812999999998</v>
      </c>
      <c r="E102" s="99">
        <f>27576.59+55.32+146.67</f>
        <v>27778.579999999998</v>
      </c>
      <c r="F102" s="16">
        <f>34534.9</f>
        <v>34534.9</v>
      </c>
      <c r="G102" s="16">
        <v>23098.07</v>
      </c>
      <c r="H102" s="67">
        <v>38633.96</v>
      </c>
      <c r="I102" s="29"/>
    </row>
    <row r="103" spans="1:9" x14ac:dyDescent="0.25">
      <c r="A103" s="111"/>
      <c r="B103" s="2" t="s">
        <v>65</v>
      </c>
      <c r="C103" s="10">
        <v>0</v>
      </c>
      <c r="D103" s="16">
        <v>0</v>
      </c>
      <c r="E103" s="99">
        <v>0</v>
      </c>
      <c r="F103" s="16">
        <v>0</v>
      </c>
      <c r="G103" s="16">
        <v>0</v>
      </c>
      <c r="H103" s="67">
        <v>0</v>
      </c>
      <c r="I103" s="29"/>
    </row>
    <row r="104" spans="1:9" ht="15.75" customHeight="1" x14ac:dyDescent="0.25">
      <c r="A104" s="109"/>
      <c r="B104" s="17" t="s">
        <v>14</v>
      </c>
      <c r="C104" s="9">
        <f t="shared" ref="C104" si="11">SUM(C105:C107)</f>
        <v>1673471.9400000002</v>
      </c>
      <c r="D104" s="9">
        <f>SUM(D105:D108)</f>
        <v>1587906.33</v>
      </c>
      <c r="E104" s="100">
        <f>SUM(E105:E108)</f>
        <v>1369150.32</v>
      </c>
      <c r="F104" s="9">
        <f>SUM(F105:F108)</f>
        <v>1315678.6399999999</v>
      </c>
      <c r="G104" s="61">
        <f>SUM(G105:G108)</f>
        <v>1499654.73</v>
      </c>
      <c r="H104" s="76">
        <f>SUM(H105:H108)</f>
        <v>1444375.67</v>
      </c>
      <c r="I104" s="29"/>
    </row>
    <row r="105" spans="1:9" x14ac:dyDescent="0.25">
      <c r="A105" s="110"/>
      <c r="B105" s="6" t="s">
        <v>8</v>
      </c>
      <c r="C105" s="10">
        <v>1439848.03</v>
      </c>
      <c r="D105" s="10">
        <v>1077570.74</v>
      </c>
      <c r="E105" s="101">
        <v>1124903.83</v>
      </c>
      <c r="F105" s="10">
        <v>1112843.54</v>
      </c>
      <c r="G105" s="16">
        <v>1285608.26</v>
      </c>
      <c r="H105" s="67">
        <v>1085203.79</v>
      </c>
      <c r="I105" s="29"/>
    </row>
    <row r="106" spans="1:9" x14ac:dyDescent="0.25">
      <c r="A106" s="110"/>
      <c r="B106" s="18" t="s">
        <v>9</v>
      </c>
      <c r="C106" s="59">
        <v>202648.57</v>
      </c>
      <c r="D106" s="59">
        <v>99494.85</v>
      </c>
      <c r="E106" s="102">
        <f>155792.7+4102.06</f>
        <v>159894.76</v>
      </c>
      <c r="F106" s="59">
        <f>168466.12+8.39</f>
        <v>168474.51</v>
      </c>
      <c r="G106" s="59">
        <f>115975.95</f>
        <v>115975.95</v>
      </c>
      <c r="H106" s="67">
        <f>234107.7+28430.72</f>
        <v>262538.42000000004</v>
      </c>
      <c r="I106" s="29"/>
    </row>
    <row r="107" spans="1:9" x14ac:dyDescent="0.25">
      <c r="A107" s="110"/>
      <c r="B107" s="6" t="s">
        <v>27</v>
      </c>
      <c r="C107" s="16">
        <v>30975.34</v>
      </c>
      <c r="D107" s="16">
        <v>291670</v>
      </c>
      <c r="E107" s="99">
        <v>48833.93</v>
      </c>
      <c r="F107" s="16">
        <v>8846.43</v>
      </c>
      <c r="G107" s="16">
        <v>27070.52</v>
      </c>
      <c r="H107" s="67">
        <v>86743</v>
      </c>
      <c r="I107" s="29"/>
    </row>
    <row r="108" spans="1:9" x14ac:dyDescent="0.25">
      <c r="A108" s="111"/>
      <c r="B108" s="2" t="s">
        <v>65</v>
      </c>
      <c r="C108" s="16">
        <v>0</v>
      </c>
      <c r="D108" s="16">
        <v>119170.74</v>
      </c>
      <c r="E108" s="99">
        <v>35517.800000000003</v>
      </c>
      <c r="F108" s="16">
        <v>25514.16</v>
      </c>
      <c r="G108" s="16">
        <v>71000</v>
      </c>
      <c r="H108" s="67">
        <v>9890.4599999999991</v>
      </c>
      <c r="I108" s="29"/>
    </row>
    <row r="109" spans="1:9" ht="18" customHeight="1" x14ac:dyDescent="0.25">
      <c r="A109" s="109"/>
      <c r="B109" s="17" t="s">
        <v>32</v>
      </c>
      <c r="C109" s="32">
        <f t="shared" ref="C109:E109" si="12">SUM(C110:C111)</f>
        <v>68692.039999999994</v>
      </c>
      <c r="D109" s="32">
        <f t="shared" si="12"/>
        <v>64883.229999999996</v>
      </c>
      <c r="E109" s="103">
        <f t="shared" si="12"/>
        <v>80428.02</v>
      </c>
      <c r="F109" s="32">
        <f>SUM(F110:F112)</f>
        <v>46614.080000000002</v>
      </c>
      <c r="G109" s="63">
        <f>SUM(G110:G111)</f>
        <v>54992.070000000007</v>
      </c>
      <c r="H109" s="76">
        <f>SUM(H110:H111)</f>
        <v>58204.13</v>
      </c>
      <c r="I109" s="29"/>
    </row>
    <row r="110" spans="1:9" x14ac:dyDescent="0.25">
      <c r="A110" s="110"/>
      <c r="B110" s="6" t="s">
        <v>8</v>
      </c>
      <c r="C110" s="10">
        <v>36174.35</v>
      </c>
      <c r="D110" s="16">
        <v>38971.1</v>
      </c>
      <c r="E110" s="101">
        <v>77301.91</v>
      </c>
      <c r="F110" s="16">
        <v>33586.35</v>
      </c>
      <c r="G110" s="16">
        <v>45505.48</v>
      </c>
      <c r="H110" s="67">
        <v>41670.92</v>
      </c>
      <c r="I110" s="29"/>
    </row>
    <row r="111" spans="1:9" x14ac:dyDescent="0.25">
      <c r="A111" s="110"/>
      <c r="B111" s="6" t="s">
        <v>9</v>
      </c>
      <c r="C111" s="10">
        <v>32517.69</v>
      </c>
      <c r="D111" s="16">
        <v>25912.13</v>
      </c>
      <c r="E111" s="101">
        <v>3126.11</v>
      </c>
      <c r="F111" s="16">
        <v>13027.73</v>
      </c>
      <c r="G111" s="16">
        <v>9486.59</v>
      </c>
      <c r="H111" s="67">
        <v>16533.21</v>
      </c>
      <c r="I111" s="29"/>
    </row>
    <row r="112" spans="1:9" x14ac:dyDescent="0.25">
      <c r="A112" s="111"/>
      <c r="B112" s="2" t="s">
        <v>65</v>
      </c>
      <c r="C112" s="10">
        <v>0</v>
      </c>
      <c r="D112" s="10">
        <v>0</v>
      </c>
      <c r="E112" s="101">
        <v>0</v>
      </c>
      <c r="F112" s="16">
        <v>0</v>
      </c>
      <c r="G112" s="16">
        <v>0</v>
      </c>
      <c r="H112" s="67">
        <v>0</v>
      </c>
      <c r="I112" s="29"/>
    </row>
    <row r="113" spans="1:9" x14ac:dyDescent="0.25">
      <c r="A113" s="109"/>
      <c r="B113" s="17" t="s">
        <v>48</v>
      </c>
      <c r="C113" s="32">
        <f>SUM(C114)</f>
        <v>463484.06</v>
      </c>
      <c r="D113" s="32">
        <f>SUM(D114)</f>
        <v>323046.2</v>
      </c>
      <c r="E113" s="103">
        <f t="shared" ref="E113" si="13">SUM(E114)</f>
        <v>841102.09</v>
      </c>
      <c r="F113" s="35">
        <f>SUM(F114)</f>
        <v>0</v>
      </c>
      <c r="G113" s="64">
        <f>G114</f>
        <v>7649.1</v>
      </c>
      <c r="H113" s="76">
        <f>H114</f>
        <v>2266.4</v>
      </c>
      <c r="I113" s="29"/>
    </row>
    <row r="114" spans="1:9" ht="13.5" customHeight="1" x14ac:dyDescent="0.25">
      <c r="A114" s="111"/>
      <c r="B114" s="6" t="s">
        <v>9</v>
      </c>
      <c r="C114" s="16">
        <v>463484.06</v>
      </c>
      <c r="D114" s="10">
        <v>323046.2</v>
      </c>
      <c r="E114" s="99">
        <f>15200+15200+802823.69+5170+1895+374.4+439</f>
        <v>841102.09</v>
      </c>
      <c r="F114" s="26">
        <v>0</v>
      </c>
      <c r="G114" s="16">
        <f>1133.2+2266.4+3966.2+283.3</f>
        <v>7649.1</v>
      </c>
      <c r="H114" s="67">
        <f>566.6+849.9+849.9</f>
        <v>2266.4</v>
      </c>
      <c r="I114" s="29"/>
    </row>
    <row r="115" spans="1:9" ht="15.75" customHeight="1" x14ac:dyDescent="0.25">
      <c r="A115" s="109"/>
      <c r="B115" s="17" t="s">
        <v>52</v>
      </c>
      <c r="C115" s="63">
        <f>SUM(C116)</f>
        <v>446630.06</v>
      </c>
      <c r="D115" s="32">
        <f t="shared" ref="D115:E115" si="14">SUM(D116)</f>
        <v>0</v>
      </c>
      <c r="E115" s="103">
        <f t="shared" si="14"/>
        <v>0</v>
      </c>
      <c r="F115" s="32">
        <f t="shared" ref="F115:G115" si="15">SUM(F116)</f>
        <v>270760.40000000002</v>
      </c>
      <c r="G115" s="63">
        <f t="shared" si="15"/>
        <v>242649.60000000001</v>
      </c>
      <c r="H115" s="76">
        <v>0</v>
      </c>
      <c r="I115" s="29"/>
    </row>
    <row r="116" spans="1:9" x14ac:dyDescent="0.25">
      <c r="A116" s="111"/>
      <c r="B116" s="6" t="s">
        <v>9</v>
      </c>
      <c r="C116" s="16">
        <v>446630.06</v>
      </c>
      <c r="D116" s="10">
        <v>0</v>
      </c>
      <c r="E116" s="99">
        <v>0</v>
      </c>
      <c r="F116" s="10">
        <f>38400+38400+23270.4+49990+44700+76000</f>
        <v>270760.40000000002</v>
      </c>
      <c r="G116" s="16">
        <f>4250+38682+57600+57600+26649.6+57600+268</f>
        <v>242649.60000000001</v>
      </c>
      <c r="H116" s="67">
        <v>0</v>
      </c>
      <c r="I116" s="29"/>
    </row>
    <row r="117" spans="1:9" ht="15" customHeight="1" x14ac:dyDescent="0.25">
      <c r="A117" s="109"/>
      <c r="B117" s="17" t="s">
        <v>49</v>
      </c>
      <c r="C117" s="32">
        <f>SUM(C118)</f>
        <v>0</v>
      </c>
      <c r="D117" s="32">
        <f t="shared" ref="D117:E117" si="16">SUM(D118)</f>
        <v>0</v>
      </c>
      <c r="E117" s="103">
        <f t="shared" si="16"/>
        <v>0</v>
      </c>
      <c r="F117" s="32">
        <f t="shared" ref="F117" si="17">SUM(F118)</f>
        <v>0</v>
      </c>
      <c r="G117" s="63">
        <f t="shared" ref="G117" si="18">SUM(G118)</f>
        <v>0</v>
      </c>
      <c r="H117" s="76">
        <v>0</v>
      </c>
      <c r="I117" s="29"/>
    </row>
    <row r="118" spans="1:9" ht="12.75" customHeight="1" x14ac:dyDescent="0.25">
      <c r="A118" s="111"/>
      <c r="B118" s="6" t="s">
        <v>9</v>
      </c>
      <c r="C118" s="10">
        <v>0</v>
      </c>
      <c r="D118" s="10">
        <v>0</v>
      </c>
      <c r="E118" s="99">
        <v>0</v>
      </c>
      <c r="F118" s="10">
        <v>0</v>
      </c>
      <c r="G118" s="10">
        <v>0</v>
      </c>
      <c r="H118" s="76">
        <v>0</v>
      </c>
      <c r="I118" s="29"/>
    </row>
    <row r="119" spans="1:9" ht="15.75" thickBot="1" x14ac:dyDescent="0.3">
      <c r="A119" s="55"/>
      <c r="B119" s="56" t="s">
        <v>28</v>
      </c>
      <c r="C119" s="57">
        <v>0</v>
      </c>
      <c r="D119" s="58">
        <v>0</v>
      </c>
      <c r="E119" s="104">
        <v>0</v>
      </c>
      <c r="F119" s="58">
        <v>0</v>
      </c>
      <c r="G119" s="58">
        <v>0</v>
      </c>
      <c r="H119" s="76">
        <v>0</v>
      </c>
      <c r="I119" s="29"/>
    </row>
    <row r="120" spans="1:9" ht="10.5" customHeight="1" thickTop="1" x14ac:dyDescent="0.25">
      <c r="B120" s="19"/>
      <c r="C120" s="19"/>
      <c r="D120" s="5"/>
      <c r="E120" s="5"/>
      <c r="F120" s="5"/>
      <c r="G120" s="5"/>
      <c r="H120" s="21"/>
    </row>
    <row r="121" spans="1:9" x14ac:dyDescent="0.25">
      <c r="B121" s="72"/>
      <c r="C121" s="21"/>
      <c r="D121" s="21"/>
      <c r="E121" s="21"/>
      <c r="F121" s="21"/>
      <c r="G121" s="21"/>
      <c r="H121" s="21"/>
      <c r="I121" s="1"/>
    </row>
    <row r="122" spans="1:9" x14ac:dyDescent="0.25">
      <c r="B122" s="73"/>
      <c r="C122" s="21"/>
      <c r="D122" s="21"/>
      <c r="E122" s="21"/>
      <c r="F122" s="21"/>
      <c r="G122" s="21"/>
      <c r="H122" s="21"/>
      <c r="I122" s="21"/>
    </row>
    <row r="123" spans="1:9" x14ac:dyDescent="0.25">
      <c r="B123" s="73"/>
      <c r="C123" s="21"/>
      <c r="D123" s="21"/>
      <c r="E123" s="21"/>
      <c r="F123" s="21"/>
      <c r="G123" s="21"/>
      <c r="H123" s="21"/>
      <c r="I123" s="21"/>
    </row>
    <row r="124" spans="1:9" x14ac:dyDescent="0.25">
      <c r="G124" s="21"/>
      <c r="H124" s="21"/>
      <c r="I124" s="1"/>
    </row>
    <row r="125" spans="1:9" x14ac:dyDescent="0.25">
      <c r="C125" s="21"/>
      <c r="D125" s="21"/>
      <c r="E125" s="21"/>
      <c r="F125" s="93"/>
      <c r="G125" s="21"/>
      <c r="H125" s="21"/>
      <c r="I125" s="22"/>
    </row>
    <row r="126" spans="1:9" x14ac:dyDescent="0.25">
      <c r="B126" s="70"/>
      <c r="C126" s="71"/>
      <c r="D126" s="71"/>
      <c r="E126" s="71"/>
      <c r="F126" s="94"/>
      <c r="G126" s="71"/>
      <c r="H126" s="71"/>
      <c r="I126" s="1"/>
    </row>
    <row r="127" spans="1:9" x14ac:dyDescent="0.25">
      <c r="B127" s="33"/>
      <c r="C127" s="34"/>
      <c r="D127" s="34"/>
      <c r="E127" s="34"/>
      <c r="F127" s="95"/>
      <c r="G127" s="34"/>
      <c r="H127" s="34"/>
      <c r="I127" s="22"/>
    </row>
    <row r="128" spans="1:9" ht="15.75" x14ac:dyDescent="0.25">
      <c r="B128" s="69"/>
      <c r="C128" s="22"/>
      <c r="D128" s="22"/>
      <c r="E128" s="22"/>
      <c r="F128" s="22"/>
      <c r="G128" s="21"/>
      <c r="H128" s="22"/>
      <c r="I128" s="22"/>
    </row>
    <row r="129" spans="2:9" ht="15.75" x14ac:dyDescent="0.25">
      <c r="B129" s="69"/>
      <c r="C129" s="22"/>
      <c r="D129" s="22"/>
      <c r="E129" s="22"/>
      <c r="F129" s="22"/>
      <c r="G129" s="22"/>
      <c r="H129" s="22"/>
      <c r="I129" s="1"/>
    </row>
    <row r="130" spans="2:9" ht="15.75" x14ac:dyDescent="0.25">
      <c r="B130" s="69"/>
      <c r="C130" s="22"/>
      <c r="D130" s="22"/>
      <c r="E130" s="22"/>
      <c r="F130" s="22"/>
      <c r="G130" s="22"/>
      <c r="H130" s="22"/>
      <c r="I130" s="1"/>
    </row>
    <row r="131" spans="2:9" ht="15.75" x14ac:dyDescent="0.25">
      <c r="B131" s="69"/>
      <c r="C131" s="22"/>
      <c r="D131" s="90"/>
      <c r="E131" s="90"/>
      <c r="F131" s="90"/>
      <c r="G131" s="92"/>
      <c r="H131" s="22"/>
      <c r="I131" s="1"/>
    </row>
    <row r="132" spans="2:9" ht="15.75" x14ac:dyDescent="0.25">
      <c r="B132" s="69"/>
      <c r="C132" s="22"/>
      <c r="D132" s="22"/>
      <c r="E132" s="90"/>
      <c r="F132" s="22"/>
      <c r="G132" s="92"/>
      <c r="H132" s="22"/>
      <c r="I132" s="1"/>
    </row>
    <row r="133" spans="2:9" ht="15.75" x14ac:dyDescent="0.25">
      <c r="B133" s="69"/>
      <c r="C133" s="22"/>
      <c r="D133" s="22"/>
      <c r="E133" s="22"/>
      <c r="F133" s="22"/>
      <c r="G133" s="22"/>
      <c r="H133" s="22"/>
      <c r="I133" s="1"/>
    </row>
    <row r="134" spans="2:9" ht="15.75" x14ac:dyDescent="0.25">
      <c r="B134" s="69"/>
      <c r="C134" s="22"/>
      <c r="D134" s="22"/>
      <c r="E134" s="22"/>
      <c r="F134" s="22"/>
      <c r="G134" s="108"/>
      <c r="H134" s="22"/>
      <c r="I134" s="1"/>
    </row>
    <row r="135" spans="2:9" ht="15.75" x14ac:dyDescent="0.25">
      <c r="B135" s="69"/>
      <c r="C135" s="22"/>
      <c r="D135" s="22"/>
      <c r="E135" s="22"/>
      <c r="F135" s="22"/>
      <c r="G135" s="22"/>
      <c r="H135" s="22"/>
      <c r="I135" s="1"/>
    </row>
    <row r="136" spans="2:9" ht="15.75" x14ac:dyDescent="0.25">
      <c r="B136" s="69"/>
      <c r="C136" s="22"/>
      <c r="D136" s="22"/>
      <c r="E136" s="22"/>
      <c r="F136" s="22"/>
      <c r="G136" s="22"/>
      <c r="H136" s="22"/>
      <c r="I136" s="1"/>
    </row>
    <row r="137" spans="2:9" ht="15.75" x14ac:dyDescent="0.25">
      <c r="B137" s="69"/>
      <c r="C137" s="89"/>
      <c r="D137" s="89"/>
      <c r="E137" s="22"/>
      <c r="F137" s="22"/>
      <c r="G137" s="22"/>
      <c r="H137" s="24"/>
      <c r="I137" s="1"/>
    </row>
    <row r="138" spans="2:9" ht="15.75" x14ac:dyDescent="0.25">
      <c r="B138" s="69"/>
      <c r="C138" s="22"/>
      <c r="D138" s="22"/>
      <c r="E138" s="22"/>
      <c r="F138" s="22"/>
      <c r="G138" s="22"/>
      <c r="H138" s="24"/>
      <c r="I138" s="1"/>
    </row>
    <row r="139" spans="2:9" x14ac:dyDescent="0.25">
      <c r="B139" s="23"/>
      <c r="C139" s="24"/>
      <c r="D139" s="24"/>
      <c r="E139" s="24"/>
      <c r="F139" s="24"/>
      <c r="G139" s="24"/>
      <c r="H139" s="24"/>
    </row>
    <row r="140" spans="2:9" x14ac:dyDescent="0.25">
      <c r="C140" s="21"/>
      <c r="D140" s="21"/>
      <c r="E140" s="21"/>
      <c r="F140" s="21"/>
      <c r="G140" s="21"/>
      <c r="H140" s="21"/>
    </row>
    <row r="141" spans="2:9" ht="18.75" x14ac:dyDescent="0.3">
      <c r="C141" s="3"/>
      <c r="D141" s="116"/>
      <c r="E141" s="116"/>
      <c r="F141" s="27"/>
      <c r="H141" s="21"/>
    </row>
    <row r="142" spans="2:9" x14ac:dyDescent="0.25">
      <c r="C142" s="22"/>
      <c r="D142" s="22"/>
      <c r="E142" s="22"/>
      <c r="F142" s="21"/>
      <c r="G142" s="27"/>
      <c r="H142" s="21"/>
    </row>
    <row r="143" spans="2:9" x14ac:dyDescent="0.25">
      <c r="D143" s="22"/>
      <c r="E143" s="22"/>
      <c r="F143" s="21"/>
      <c r="G143" s="27"/>
    </row>
    <row r="144" spans="2:9" x14ac:dyDescent="0.25">
      <c r="D144" s="22"/>
      <c r="E144" s="22"/>
    </row>
    <row r="145" spans="5:5" x14ac:dyDescent="0.25">
      <c r="E145" s="21"/>
    </row>
    <row r="146" spans="5:5" x14ac:dyDescent="0.25">
      <c r="E146" s="21"/>
    </row>
  </sheetData>
  <sheetProtection formatCells="0" formatColumns="0" formatRows="0" insertColumns="0" insertRows="0" insertHyperlinks="0" deleteColumns="0" deleteRows="0" sort="0" autoFilter="0" pivotTables="0"/>
  <mergeCells count="21">
    <mergeCell ref="A113:A114"/>
    <mergeCell ref="A115:A116"/>
    <mergeCell ref="A117:A118"/>
    <mergeCell ref="D141:E141"/>
    <mergeCell ref="A109:A112"/>
    <mergeCell ref="A3:A20"/>
    <mergeCell ref="A25:A37"/>
    <mergeCell ref="A40:A44"/>
    <mergeCell ref="A45:A49"/>
    <mergeCell ref="A50:A54"/>
    <mergeCell ref="A55:A59"/>
    <mergeCell ref="A60:A64"/>
    <mergeCell ref="A75:A79"/>
    <mergeCell ref="A65:A69"/>
    <mergeCell ref="A70:A74"/>
    <mergeCell ref="A80:A83"/>
    <mergeCell ref="A89:A92"/>
    <mergeCell ref="A93:A98"/>
    <mergeCell ref="A99:A103"/>
    <mergeCell ref="A104:A108"/>
    <mergeCell ref="A84:A87"/>
  </mergeCells>
  <phoneticPr fontId="11" type="noConversion"/>
  <pageMargins left="0.32500000000000001" right="0.15625" top="1.1578124999999999" bottom="0.66666666666666663" header="0.31496062000000002" footer="0.31496062000000002"/>
  <pageSetup paperSize="9" scale="75" orientation="landscape" r:id="rId1"/>
  <headerFooter>
    <oddHeader xml:space="preserve">&amp;C&amp;G&amp;R&amp;"Arial,Normal"&amp;10
Contrato de Gestão 001/2011 - SEAD / OVG
Execução Orçamentária Mensal
Regime de Apuração 2020 
</oddHeader>
    <oddFooter>&amp;C&amp;P de &amp;N</oddFooter>
  </headerFooter>
  <rowBreaks count="1" manualBreakCount="1">
    <brk id="38" max="16383" man="1"/>
  </rowBreaks>
  <ignoredErrors>
    <ignoredError sqref="E109" formulaRange="1"/>
    <ignoredError sqref="E114" 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2020</vt:lpstr>
      <vt:lpstr>Planilha1</vt:lpstr>
      <vt:lpstr>'2020'!Area_de_impressao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Barsanulfo da Silva</dc:creator>
  <cp:lastModifiedBy>Murilo Lopes Figueiredo</cp:lastModifiedBy>
  <cp:lastPrinted>2021-01-26T14:19:42Z</cp:lastPrinted>
  <dcterms:created xsi:type="dcterms:W3CDTF">2019-01-07T12:23:29Z</dcterms:created>
  <dcterms:modified xsi:type="dcterms:W3CDTF">2021-01-26T17:30:40Z</dcterms:modified>
</cp:coreProperties>
</file>