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fin\Portal Transparência\2021 - EXECUÇÃO ORÇAMENTÁRIA\Maio 2021\"/>
    </mc:Choice>
  </mc:AlternateContent>
  <xr:revisionPtr revIDLastSave="0" documentId="13_ncr:1_{DB19BC45-F310-4200-8D90-A595822471E7}" xr6:coauthVersionLast="45" xr6:coauthVersionMax="45" xr10:uidLastSave="{00000000-0000-0000-0000-000000000000}"/>
  <bookViews>
    <workbookView xWindow="20370" yWindow="-120" windowWidth="20640" windowHeight="11160" xr2:uid="{00000000-000D-0000-FFFF-FFFF00000000}"/>
  </bookViews>
  <sheets>
    <sheet name="2020" sheetId="4" r:id="rId1"/>
    <sheet name="Planilha1" sheetId="5" state="hidden" r:id="rId2"/>
  </sheets>
  <definedNames>
    <definedName name="_xlnm.Print_Area" localSheetId="0">'2020'!$A$1:$H$129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4" l="1"/>
  <c r="G126" i="4" l="1"/>
  <c r="G118" i="4"/>
  <c r="G33" i="4"/>
  <c r="G38" i="4"/>
  <c r="G43" i="4" l="1"/>
  <c r="G117" i="4"/>
  <c r="G34" i="4"/>
  <c r="G26" i="4" l="1"/>
  <c r="G2" i="4"/>
  <c r="G113" i="4"/>
  <c r="G96" i="4"/>
  <c r="G87" i="4"/>
  <c r="G71" i="4"/>
  <c r="G46" i="4"/>
  <c r="G41" i="4"/>
  <c r="G109" i="4"/>
  <c r="G107" i="4" s="1"/>
  <c r="G110" i="4"/>
  <c r="G103" i="4"/>
  <c r="G100" i="4" s="1"/>
  <c r="G84" i="4"/>
  <c r="G82" i="4" s="1"/>
  <c r="G93" i="4"/>
  <c r="G91" i="4" s="1"/>
  <c r="G79" i="4"/>
  <c r="G77" i="4" s="1"/>
  <c r="G78" i="4"/>
  <c r="G68" i="4"/>
  <c r="G67" i="4"/>
  <c r="G66" i="4" s="1"/>
  <c r="G63" i="4"/>
  <c r="G61" i="4" s="1"/>
  <c r="G58" i="4"/>
  <c r="G56" i="4" s="1"/>
  <c r="G53" i="4"/>
  <c r="G51" i="4" s="1"/>
  <c r="G48" i="4"/>
  <c r="F123" i="4" l="1"/>
  <c r="F118" i="4"/>
  <c r="F96" i="4"/>
  <c r="F87" i="4"/>
  <c r="F71" i="4"/>
  <c r="F2" i="4"/>
  <c r="F35" i="4"/>
  <c r="F117" i="4" l="1"/>
  <c r="F43" i="4"/>
  <c r="F41" i="4" s="1"/>
  <c r="F34" i="4"/>
  <c r="F38" i="4"/>
  <c r="F33" i="4" l="1"/>
  <c r="F26" i="4" s="1"/>
  <c r="F110" i="4" l="1"/>
  <c r="F78" i="4"/>
  <c r="F115" i="4" l="1"/>
  <c r="F113" i="4" s="1"/>
  <c r="F109" i="4"/>
  <c r="F107" i="4" s="1"/>
  <c r="F103" i="4"/>
  <c r="F100" i="4" s="1"/>
  <c r="F84" i="4"/>
  <c r="F82" i="4" s="1"/>
  <c r="F93" i="4"/>
  <c r="F91" i="4" s="1"/>
  <c r="F79" i="4"/>
  <c r="F77" i="4" s="1"/>
  <c r="C71" i="4"/>
  <c r="D71" i="4"/>
  <c r="E71" i="4"/>
  <c r="H71" i="4"/>
  <c r="F68" i="4"/>
  <c r="F66" i="4" s="1"/>
  <c r="F63" i="4"/>
  <c r="F61" i="4" s="1"/>
  <c r="F58" i="4"/>
  <c r="F56" i="4" s="1"/>
  <c r="F53" i="4"/>
  <c r="F51" i="4" s="1"/>
  <c r="F48" i="4"/>
  <c r="F46" i="4" s="1"/>
  <c r="E33" i="4" l="1"/>
  <c r="E2" i="4" l="1"/>
  <c r="E126" i="4"/>
  <c r="E84" i="4" l="1"/>
  <c r="E82" i="4" s="1"/>
  <c r="E68" i="4"/>
  <c r="E63" i="4"/>
  <c r="E61" i="4" s="1"/>
  <c r="E58" i="4"/>
  <c r="E56" i="4" s="1"/>
  <c r="E53" i="4"/>
  <c r="E51" i="4" s="1"/>
  <c r="E48" i="4"/>
  <c r="E46" i="4" s="1"/>
  <c r="E43" i="4"/>
  <c r="E41" i="4" s="1"/>
  <c r="E100" i="4"/>
  <c r="D96" i="4"/>
  <c r="E96" i="4"/>
  <c r="E91" i="4"/>
  <c r="E77" i="4"/>
  <c r="E66" i="4"/>
  <c r="E115" i="4"/>
  <c r="E113" i="4" s="1"/>
  <c r="E109" i="4"/>
  <c r="E107" i="4" s="1"/>
  <c r="E79" i="4"/>
  <c r="E34" i="4"/>
  <c r="E26" i="4" s="1"/>
  <c r="D58" i="4" l="1"/>
  <c r="C118" i="4" l="1"/>
  <c r="C113" i="4"/>
  <c r="C87" i="4"/>
  <c r="C66" i="4"/>
  <c r="C56" i="4"/>
  <c r="C51" i="4"/>
  <c r="C46" i="4"/>
  <c r="C41" i="4"/>
  <c r="C110" i="4"/>
  <c r="C109" i="4"/>
  <c r="C103" i="4"/>
  <c r="C100" i="4" s="1"/>
  <c r="C98" i="4"/>
  <c r="C96" i="4" s="1"/>
  <c r="C93" i="4"/>
  <c r="C91" i="4" s="1"/>
  <c r="C84" i="4"/>
  <c r="C82" i="4" s="1"/>
  <c r="C79" i="4"/>
  <c r="C77" i="4" s="1"/>
  <c r="C63" i="4"/>
  <c r="C61" i="4" s="1"/>
  <c r="C125" i="4"/>
  <c r="C123" i="4"/>
  <c r="C26" i="4"/>
  <c r="C2" i="4"/>
  <c r="C107" i="4" l="1"/>
  <c r="C40" i="4"/>
  <c r="D2" i="4" l="1"/>
  <c r="D118" i="4"/>
  <c r="D33" i="4"/>
  <c r="D26" i="4" s="1"/>
  <c r="D84" i="4"/>
  <c r="D82" i="4" s="1"/>
  <c r="D115" i="4"/>
  <c r="D113" i="4" s="1"/>
  <c r="D109" i="4"/>
  <c r="D107" i="4" s="1"/>
  <c r="D100" i="4"/>
  <c r="D87" i="4"/>
  <c r="D93" i="4"/>
  <c r="D91" i="4" s="1"/>
  <c r="D79" i="4"/>
  <c r="D77" i="4" s="1"/>
  <c r="D68" i="4"/>
  <c r="D66" i="4" s="1"/>
  <c r="D63" i="4"/>
  <c r="D61" i="4" s="1"/>
  <c r="D56" i="4"/>
  <c r="D53" i="4"/>
  <c r="D51" i="4" s="1"/>
  <c r="D48" i="4"/>
  <c r="D46" i="4" s="1"/>
  <c r="D43" i="4"/>
  <c r="D41" i="4" s="1"/>
  <c r="H2" i="4" l="1"/>
  <c r="H96" i="4"/>
  <c r="H100" i="4"/>
  <c r="H118" i="4"/>
  <c r="H26" i="4"/>
  <c r="H87" i="4" l="1"/>
  <c r="H113" i="4"/>
  <c r="H107" i="4"/>
  <c r="H91" i="4"/>
  <c r="H82" i="4"/>
  <c r="H77" i="4"/>
  <c r="H66" i="4"/>
  <c r="H61" i="4"/>
  <c r="H56" i="4"/>
  <c r="H51" i="4"/>
  <c r="H46" i="4"/>
  <c r="H41" i="4"/>
  <c r="E123" i="4" l="1"/>
  <c r="H123" i="4" l="1"/>
  <c r="H125" i="4" l="1"/>
  <c r="H40" i="4" s="1"/>
  <c r="G125" i="4" l="1"/>
  <c r="E125" i="4"/>
  <c r="F125" i="4"/>
  <c r="F40" i="4" s="1"/>
  <c r="D125" i="4"/>
  <c r="G123" i="4" l="1"/>
  <c r="G40" i="4" s="1"/>
  <c r="D123" i="4" l="1"/>
  <c r="D40" i="4" l="1"/>
  <c r="E87" i="4" l="1"/>
  <c r="E118" i="4" l="1"/>
  <c r="E40" i="4" s="1"/>
</calcChain>
</file>

<file path=xl/sharedStrings.xml><?xml version="1.0" encoding="utf-8"?>
<sst xmlns="http://schemas.openxmlformats.org/spreadsheetml/2006/main" count="124" uniqueCount="64">
  <si>
    <t xml:space="preserve">Rubricas </t>
  </si>
  <si>
    <t>Saldo Inicial em Disponibilidade</t>
  </si>
  <si>
    <t>Recursos Recebidos</t>
  </si>
  <si>
    <t>Contrato de Gestão - Repasse Tesouro</t>
  </si>
  <si>
    <t>Contrato de Gestão - Repasse Bolsa</t>
  </si>
  <si>
    <t>Contrato de Gestão - Repasse Restaurante</t>
  </si>
  <si>
    <t>Doações</t>
  </si>
  <si>
    <t>Outras Receitas</t>
  </si>
  <si>
    <t>Pessoal e Encargos</t>
  </si>
  <si>
    <t>Despesas Correntes</t>
  </si>
  <si>
    <t>CENTRO SOCIAL DONA GERCINA BORGES - CSDGB</t>
  </si>
  <si>
    <t>CASA DO INTERIOR DE GOIÁS - CIGO</t>
  </si>
  <si>
    <t>CENTRO DE APOIO AOS ROMEIROS</t>
  </si>
  <si>
    <t>BOLSA UNIVERSITÁRIA</t>
  </si>
  <si>
    <t>APOIO ADMINISTRATIVO</t>
  </si>
  <si>
    <t>Saldo de Investimento - Tesouro</t>
  </si>
  <si>
    <t>Saldo em Conta Corrente - Tesouro (Bradesco - 0244 - 45005-7)</t>
  </si>
  <si>
    <t>Saldo em Conta Corrente - Bolsa Univ. (Bradesco - 0244 - 45011-1)</t>
  </si>
  <si>
    <t>Saldo de Investimento - Bolsa Univ.</t>
  </si>
  <si>
    <t>Saldo em Conta Corrente - Restaurante (Bradesco - 0244 - 45013-8)</t>
  </si>
  <si>
    <t>Saldo de Investimento - Restaurante</t>
  </si>
  <si>
    <t>Rendimento de Aplicação</t>
  </si>
  <si>
    <t>Recuperação de Despesa</t>
  </si>
  <si>
    <t>Despesas Pagas e Investimentos</t>
  </si>
  <si>
    <t>Despesas com refeições</t>
  </si>
  <si>
    <t>Despesas com auxílio estudantil</t>
  </si>
  <si>
    <t>Despesas com Aluguel dos Restaurantes</t>
  </si>
  <si>
    <t>Investimento</t>
  </si>
  <si>
    <t>Estorno / Devolução</t>
  </si>
  <si>
    <t>Termo de Fomento - Banco de Alimentos</t>
  </si>
  <si>
    <t>Saldo em Conta Corrente - Banco de Alimento (Bradesco - 0244-45021-9)</t>
  </si>
  <si>
    <t>Saldo de Investimento - Banco de Alimentos</t>
  </si>
  <si>
    <t>BANCO DE ALIMENTOS</t>
  </si>
  <si>
    <t>COVID-19</t>
  </si>
  <si>
    <t>CENTRO DE IDOSOS SAGRADA FAMÍLIA - CISF</t>
  </si>
  <si>
    <t xml:space="preserve">CENTRO DE IDOSOS VILA VIDA - CIVV </t>
  </si>
  <si>
    <t>ESPAÇO BEM VIVER l - CM</t>
  </si>
  <si>
    <t>ESPAÇO BEM VIVER ll - NF</t>
  </si>
  <si>
    <t>RESTAURANTE DO BEM</t>
  </si>
  <si>
    <t>NATAL DO BEM</t>
  </si>
  <si>
    <t>CENTRO DE ADOLESCENTES TECENDO O FUTURO - CATF</t>
  </si>
  <si>
    <t>Saldo em Conta Corrente - COVID-19 Ministerio Público (Bradesco - 0244-45055-3)</t>
  </si>
  <si>
    <t>Saldo de Investimento - COVID-19 Ministerio Público</t>
  </si>
  <si>
    <t xml:space="preserve">COVID-19 Ministerio Público </t>
  </si>
  <si>
    <t>COVID-19 - Doações Diversas</t>
  </si>
  <si>
    <t>Saldo em Conta Corrente - COVID-19 Doações Diversos (Bradesco - 0244-45059-6)</t>
  </si>
  <si>
    <t>Saldo de Investimento - COVID-19 Doações Diversas</t>
  </si>
  <si>
    <t>COVID-19 - Ministério Público</t>
  </si>
  <si>
    <t>Saldo em Conta Corrente - Provisão de Rescisões (Bradesco - 0244 - 45052-9)</t>
  </si>
  <si>
    <t>saldo de Investimento - Provisão de Rescisões</t>
  </si>
  <si>
    <t>Saldo em Conta Corrente - Ações Sociais (Bradesco - 0244- 45053-7)</t>
  </si>
  <si>
    <t xml:space="preserve">Saldo de Investimento - Ações Sociais </t>
  </si>
  <si>
    <t xml:space="preserve">Contrato de Gestão - Repasse Provisão de Rescisões </t>
  </si>
  <si>
    <t xml:space="preserve">Contrato de Gestão - Ações Sociais </t>
  </si>
  <si>
    <t>Provisão de Rescisões</t>
  </si>
  <si>
    <t>GERÊNCIA DE GESTÃO SOCIAL E AVALIAÇÃO</t>
  </si>
  <si>
    <t>Realizado Janeiro/ 2021</t>
  </si>
  <si>
    <t>Realizado Fevereiro/ 2021</t>
  </si>
  <si>
    <t>Realizado Março/ 2021</t>
  </si>
  <si>
    <t>Realizado Abril/ 2021</t>
  </si>
  <si>
    <t>Realizado Maio/ 2021</t>
  </si>
  <si>
    <t>Realizado Junho/2021</t>
  </si>
  <si>
    <t>GERÊNCIA DE ENFRENTAMENTO ÁS DESPROTEÇÕES SOCIAIS - GEDS</t>
  </si>
  <si>
    <t>GERÊNCIA DE VOLUNTARIADO E PARCERIAS SOCIAIS - GVPS/ DESMENBRADO PARA GBS E GPV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</si>
</sst>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2" fillId="0" borderId="0" xfId="0" applyFont="1"/>
    <xf numFmtId="0" fontId="7" fillId="0" borderId="2" xfId="0" applyFont="1" applyBorder="1" applyAlignment="1">
      <alignment wrapText="1"/>
    </xf>
    <xf numFmtId="164" fontId="7" fillId="0" borderId="2" xfId="1" applyFont="1" applyBorder="1"/>
    <xf numFmtId="0" fontId="7" fillId="0" borderId="0" xfId="0" applyFont="1" applyAlignment="1">
      <alignment wrapText="1"/>
    </xf>
    <xf numFmtId="164" fontId="7" fillId="0" borderId="0" xfId="1" applyFont="1"/>
    <xf numFmtId="0" fontId="7" fillId="0" borderId="2" xfId="0" applyFont="1" applyFill="1" applyBorder="1" applyAlignment="1">
      <alignment wrapText="1"/>
    </xf>
    <xf numFmtId="164" fontId="7" fillId="0" borderId="2" xfId="1" applyFont="1" applyFill="1" applyBorder="1"/>
    <xf numFmtId="0" fontId="8" fillId="0" borderId="2" xfId="0" applyFont="1" applyFill="1" applyBorder="1" applyAlignment="1">
      <alignment wrapText="1"/>
    </xf>
    <xf numFmtId="164" fontId="8" fillId="0" borderId="2" xfId="1" applyFont="1" applyFill="1" applyBorder="1" applyAlignment="1">
      <alignment wrapText="1"/>
    </xf>
    <xf numFmtId="164" fontId="7" fillId="0" borderId="2" xfId="1" applyFont="1" applyFill="1" applyBorder="1" applyAlignment="1">
      <alignment wrapText="1"/>
    </xf>
    <xf numFmtId="164" fontId="7" fillId="0" borderId="2" xfId="1" applyFont="1" applyBorder="1" applyAlignment="1">
      <alignment wrapText="1"/>
    </xf>
    <xf numFmtId="0" fontId="8" fillId="0" borderId="2" xfId="0" applyFont="1" applyBorder="1" applyAlignment="1">
      <alignment wrapText="1"/>
    </xf>
    <xf numFmtId="164" fontId="8" fillId="0" borderId="2" xfId="1" applyFont="1" applyBorder="1" applyAlignment="1">
      <alignment wrapText="1"/>
    </xf>
    <xf numFmtId="0" fontId="6" fillId="0" borderId="2" xfId="0" applyFont="1" applyBorder="1" applyAlignment="1">
      <alignment wrapText="1"/>
    </xf>
    <xf numFmtId="164" fontId="9" fillId="0" borderId="2" xfId="1" applyFont="1" applyBorder="1" applyAlignment="1">
      <alignment wrapText="1"/>
    </xf>
    <xf numFmtId="164" fontId="7" fillId="2" borderId="2" xfId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164" fontId="6" fillId="4" borderId="1" xfId="1" applyFont="1" applyFill="1" applyBorder="1"/>
    <xf numFmtId="164" fontId="2" fillId="0" borderId="0" xfId="0" applyNumberFormat="1" applyFont="1"/>
    <xf numFmtId="164" fontId="2" fillId="0" borderId="0" xfId="1" applyFont="1"/>
    <xf numFmtId="164" fontId="9" fillId="0" borderId="2" xfId="1" applyFont="1" applyFill="1" applyBorder="1" applyAlignment="1">
      <alignment wrapText="1"/>
    </xf>
    <xf numFmtId="44" fontId="2" fillId="0" borderId="0" xfId="0" applyNumberFormat="1" applyFont="1"/>
    <xf numFmtId="164" fontId="7" fillId="2" borderId="2" xfId="1" applyFont="1" applyFill="1" applyBorder="1"/>
    <xf numFmtId="164" fontId="0" fillId="0" borderId="0" xfId="0" applyNumberFormat="1"/>
    <xf numFmtId="164" fontId="0" fillId="0" borderId="0" xfId="1" applyFont="1"/>
    <xf numFmtId="44" fontId="0" fillId="0" borderId="0" xfId="0" applyNumberFormat="1"/>
    <xf numFmtId="164" fontId="6" fillId="0" borderId="2" xfId="1" applyFont="1" applyFill="1" applyBorder="1" applyAlignment="1">
      <alignment wrapText="1"/>
    </xf>
    <xf numFmtId="164" fontId="11" fillId="0" borderId="2" xfId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4" fontId="7" fillId="0" borderId="10" xfId="1" applyFont="1" applyBorder="1"/>
    <xf numFmtId="164" fontId="7" fillId="2" borderId="10" xfId="1" applyFont="1" applyFill="1" applyBorder="1"/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wrapText="1"/>
    </xf>
    <xf numFmtId="164" fontId="6" fillId="4" borderId="12" xfId="1" applyFont="1" applyFill="1" applyBorder="1"/>
    <xf numFmtId="164" fontId="6" fillId="4" borderId="12" xfId="1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64" fontId="8" fillId="0" borderId="10" xfId="1" applyFont="1" applyFill="1" applyBorder="1" applyAlignment="1">
      <alignment wrapText="1"/>
    </xf>
    <xf numFmtId="164" fontId="8" fillId="0" borderId="10" xfId="1" applyFont="1" applyFill="1" applyBorder="1"/>
    <xf numFmtId="164" fontId="7" fillId="2" borderId="3" xfId="1" applyFont="1" applyFill="1" applyBorder="1" applyAlignment="1">
      <alignment wrapText="1"/>
    </xf>
    <xf numFmtId="164" fontId="8" fillId="2" borderId="2" xfId="1" applyFont="1" applyFill="1" applyBorder="1" applyAlignment="1">
      <alignment wrapText="1"/>
    </xf>
    <xf numFmtId="164" fontId="9" fillId="2" borderId="2" xfId="1" applyFont="1" applyFill="1" applyBorder="1" applyAlignment="1">
      <alignment wrapText="1"/>
    </xf>
    <xf numFmtId="164" fontId="6" fillId="2" borderId="2" xfId="1" applyFont="1" applyFill="1" applyBorder="1" applyAlignment="1">
      <alignment wrapText="1"/>
    </xf>
    <xf numFmtId="164" fontId="11" fillId="2" borderId="2" xfId="1" applyFont="1" applyFill="1" applyBorder="1" applyAlignment="1">
      <alignment wrapText="1"/>
    </xf>
    <xf numFmtId="0" fontId="0" fillId="2" borderId="0" xfId="0" applyFill="1"/>
    <xf numFmtId="0" fontId="6" fillId="4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4" fontId="7" fillId="0" borderId="0" xfId="1" applyFont="1" applyBorder="1" applyAlignment="1">
      <alignment wrapText="1"/>
    </xf>
    <xf numFmtId="164" fontId="7" fillId="2" borderId="0" xfId="1" applyFont="1" applyFill="1" applyBorder="1"/>
    <xf numFmtId="164" fontId="7" fillId="0" borderId="0" xfId="1" applyFont="1" applyFill="1" applyBorder="1"/>
    <xf numFmtId="164" fontId="7" fillId="2" borderId="10" xfId="1" applyFont="1" applyFill="1" applyBorder="1" applyAlignment="1">
      <alignment wrapText="1"/>
    </xf>
    <xf numFmtId="164" fontId="6" fillId="0" borderId="2" xfId="1" applyFont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164" fontId="6" fillId="4" borderId="1" xfId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64" fontId="8" fillId="0" borderId="2" xfId="1" applyFont="1" applyBorder="1" applyAlignment="1">
      <alignment horizontal="center" vertical="center" wrapText="1"/>
    </xf>
    <xf numFmtId="164" fontId="7" fillId="0" borderId="2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8" fillId="0" borderId="10" xfId="1" applyFont="1" applyFill="1" applyBorder="1" applyAlignment="1">
      <alignment horizontal="center" vertical="center"/>
    </xf>
    <xf numFmtId="164" fontId="7" fillId="2" borderId="2" xfId="1" applyFont="1" applyFill="1" applyBorder="1" applyAlignment="1"/>
    <xf numFmtId="0" fontId="2" fillId="0" borderId="8" xfId="0" applyFont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wrapText="1"/>
    </xf>
    <xf numFmtId="164" fontId="7" fillId="0" borderId="10" xfId="1" applyFont="1" applyBorder="1" applyAlignment="1">
      <alignment wrapText="1"/>
    </xf>
    <xf numFmtId="164" fontId="6" fillId="4" borderId="12" xfId="0" applyNumberFormat="1" applyFont="1" applyFill="1" applyBorder="1" applyAlignment="1">
      <alignment wrapText="1"/>
    </xf>
    <xf numFmtId="164" fontId="7" fillId="0" borderId="3" xfId="1" applyFont="1" applyFill="1" applyBorder="1" applyAlignment="1">
      <alignment wrapText="1"/>
    </xf>
    <xf numFmtId="164" fontId="9" fillId="2" borderId="3" xfId="1" applyFont="1" applyFill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4" fontId="6" fillId="0" borderId="3" xfId="1" applyFont="1" applyBorder="1" applyAlignment="1">
      <alignment horizontal="center" wrapText="1"/>
    </xf>
    <xf numFmtId="164" fontId="6" fillId="0" borderId="15" xfId="1" applyFont="1" applyBorder="1" applyAlignment="1">
      <alignment horizontal="center" wrapText="1"/>
    </xf>
    <xf numFmtId="164" fontId="7" fillId="3" borderId="2" xfId="1" applyFont="1" applyFill="1" applyBorder="1"/>
    <xf numFmtId="164" fontId="7" fillId="0" borderId="2" xfId="1" applyFont="1" applyBorder="1" applyAlignment="1">
      <alignment horizontal="center"/>
    </xf>
    <xf numFmtId="164" fontId="7" fillId="2" borderId="2" xfId="1" applyFont="1" applyFill="1" applyBorder="1" applyAlignment="1">
      <alignment horizontal="center"/>
    </xf>
    <xf numFmtId="164" fontId="7" fillId="2" borderId="2" xfId="1" applyFont="1" applyFill="1" applyBorder="1" applyAlignment="1">
      <alignment horizontal="center" wrapText="1"/>
    </xf>
    <xf numFmtId="164" fontId="7" fillId="0" borderId="2" xfId="1" applyFont="1" applyBorder="1" applyAlignment="1">
      <alignment horizontal="center" wrapText="1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  <color rgb="FFCCFFFF"/>
      <color rgb="FF99CCFF"/>
      <color rgb="FFFF7C80"/>
      <color rgb="FF678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abSelected="1" view="pageLayout" topLeftCell="B27" zoomScale="80" zoomScaleNormal="60" zoomScalePageLayoutView="80" workbookViewId="0">
      <selection activeCell="D30" sqref="D30"/>
    </sheetView>
  </sheetViews>
  <sheetFormatPr defaultColWidth="9.140625" defaultRowHeight="15" x14ac:dyDescent="0.25"/>
  <cols>
    <col min="1" max="1" width="7" style="30" customWidth="1"/>
    <col min="2" max="2" width="39.5703125" style="1" customWidth="1"/>
    <col min="3" max="3" width="21.42578125" style="1" bestFit="1" customWidth="1"/>
    <col min="4" max="4" width="24" style="1" customWidth="1"/>
    <col min="5" max="5" width="23.42578125" style="1" customWidth="1"/>
    <col min="6" max="6" width="24.85546875" style="1" customWidth="1"/>
    <col min="7" max="7" width="22.140625" style="1" customWidth="1"/>
    <col min="8" max="8" width="24.42578125" style="1" customWidth="1"/>
    <col min="9" max="9" width="23.140625" customWidth="1"/>
    <col min="10" max="10" width="17" customWidth="1"/>
    <col min="11" max="11" width="18.5703125" customWidth="1"/>
    <col min="12" max="13" width="8.85546875" customWidth="1"/>
    <col min="14" max="16384" width="9.140625" style="1"/>
  </cols>
  <sheetData>
    <row r="1" spans="1:8" ht="35.25" customHeight="1" thickTop="1" thickBot="1" x14ac:dyDescent="0.3">
      <c r="A1" s="31"/>
      <c r="B1" s="51" t="s">
        <v>0</v>
      </c>
      <c r="C1" s="51" t="s">
        <v>56</v>
      </c>
      <c r="D1" s="32" t="s">
        <v>57</v>
      </c>
      <c r="E1" s="32" t="s">
        <v>58</v>
      </c>
      <c r="F1" s="32" t="s">
        <v>59</v>
      </c>
      <c r="G1" s="32" t="s">
        <v>60</v>
      </c>
      <c r="H1" s="32" t="s">
        <v>61</v>
      </c>
    </row>
    <row r="2" spans="1:8" ht="24" customHeight="1" x14ac:dyDescent="0.25">
      <c r="A2" s="61">
        <v>1</v>
      </c>
      <c r="B2" s="59" t="s">
        <v>1</v>
      </c>
      <c r="C2" s="74">
        <f t="shared" ref="C2:H2" si="0">SUM(C3:C18)</f>
        <v>44357101.990000002</v>
      </c>
      <c r="D2" s="60">
        <f t="shared" si="0"/>
        <v>31996257.579999998</v>
      </c>
      <c r="E2" s="60">
        <f>SUM(E3:E18)</f>
        <v>33801558.289999999</v>
      </c>
      <c r="F2" s="19">
        <f>SUM(F3:F18)</f>
        <v>42564676.380000003</v>
      </c>
      <c r="G2" s="19">
        <f>SUM(G3:G18)</f>
        <v>40894676.779999994</v>
      </c>
      <c r="H2" s="19">
        <f t="shared" si="0"/>
        <v>0</v>
      </c>
    </row>
    <row r="3" spans="1:8" ht="27.75" customHeight="1" x14ac:dyDescent="0.25">
      <c r="A3" s="83"/>
      <c r="B3" s="2" t="s">
        <v>16</v>
      </c>
      <c r="C3" s="11">
        <v>274094.64</v>
      </c>
      <c r="D3" s="11">
        <v>112290.9</v>
      </c>
      <c r="E3" s="3">
        <v>110815</v>
      </c>
      <c r="F3" s="24">
        <v>43361.59</v>
      </c>
      <c r="G3" s="92">
        <v>44580.22</v>
      </c>
      <c r="H3" s="24"/>
    </row>
    <row r="4" spans="1:8" ht="18" customHeight="1" x14ac:dyDescent="0.25">
      <c r="A4" s="83"/>
      <c r="B4" s="2" t="s">
        <v>15</v>
      </c>
      <c r="C4" s="11">
        <v>24478945.710000001</v>
      </c>
      <c r="D4" s="11">
        <v>21202658.75</v>
      </c>
      <c r="E4" s="24">
        <v>19928536.469999999</v>
      </c>
      <c r="F4" s="24">
        <v>21229068.800000001</v>
      </c>
      <c r="G4" s="92">
        <v>20703946.66</v>
      </c>
      <c r="H4" s="24"/>
    </row>
    <row r="5" spans="1:8" ht="30.75" customHeight="1" x14ac:dyDescent="0.25">
      <c r="A5" s="83"/>
      <c r="B5" s="2" t="s">
        <v>48</v>
      </c>
      <c r="C5" s="11">
        <v>29386.94</v>
      </c>
      <c r="D5" s="16">
        <v>22014.53</v>
      </c>
      <c r="E5" s="24">
        <v>13035.94</v>
      </c>
      <c r="F5" s="24">
        <v>15702.9</v>
      </c>
      <c r="G5" s="92">
        <v>19094.66</v>
      </c>
      <c r="H5" s="24"/>
    </row>
    <row r="6" spans="1:8" ht="28.5" customHeight="1" x14ac:dyDescent="0.25">
      <c r="A6" s="83"/>
      <c r="B6" s="2" t="s">
        <v>49</v>
      </c>
      <c r="C6" s="11">
        <v>1644214.31</v>
      </c>
      <c r="D6" s="16">
        <v>1646165.24</v>
      </c>
      <c r="E6" s="24">
        <v>1727935.98</v>
      </c>
      <c r="F6" s="24">
        <v>1740930.18</v>
      </c>
      <c r="G6" s="92">
        <v>1730729.24</v>
      </c>
      <c r="H6" s="24"/>
    </row>
    <row r="7" spans="1:8" ht="30.75" customHeight="1" x14ac:dyDescent="0.25">
      <c r="A7" s="83"/>
      <c r="B7" s="2" t="s">
        <v>17</v>
      </c>
      <c r="C7" s="11">
        <v>29572.9</v>
      </c>
      <c r="D7" s="11">
        <v>56155.42</v>
      </c>
      <c r="E7" s="3">
        <v>10550.86</v>
      </c>
      <c r="F7" s="24">
        <v>21085.040000000001</v>
      </c>
      <c r="G7" s="92">
        <v>21252.799999999999</v>
      </c>
      <c r="H7" s="24"/>
    </row>
    <row r="8" spans="1:8" ht="20.25" customHeight="1" x14ac:dyDescent="0.25">
      <c r="A8" s="83"/>
      <c r="B8" s="2" t="s">
        <v>18</v>
      </c>
      <c r="C8" s="11">
        <v>9825766.0600000005</v>
      </c>
      <c r="D8" s="11">
        <v>2486603.29</v>
      </c>
      <c r="E8" s="24">
        <v>4523040.9800000004</v>
      </c>
      <c r="F8" s="72">
        <v>9698101.2400000002</v>
      </c>
      <c r="G8" s="92">
        <v>10086148.57</v>
      </c>
      <c r="H8" s="24"/>
    </row>
    <row r="9" spans="1:8" ht="33" customHeight="1" x14ac:dyDescent="0.25">
      <c r="A9" s="83"/>
      <c r="B9" s="2" t="s">
        <v>19</v>
      </c>
      <c r="C9" s="11">
        <v>51346</v>
      </c>
      <c r="D9" s="11">
        <v>53037.59</v>
      </c>
      <c r="E9" s="3">
        <v>93274.22</v>
      </c>
      <c r="F9" s="72">
        <v>13356.38</v>
      </c>
      <c r="G9" s="92">
        <v>163223.89000000001</v>
      </c>
      <c r="H9" s="24"/>
    </row>
    <row r="10" spans="1:8" ht="21.75" customHeight="1" x14ac:dyDescent="0.25">
      <c r="A10" s="83"/>
      <c r="B10" s="2" t="s">
        <v>20</v>
      </c>
      <c r="C10" s="11">
        <v>3996575.02</v>
      </c>
      <c r="D10" s="11">
        <v>2802370.07</v>
      </c>
      <c r="E10" s="3">
        <v>2822564.3</v>
      </c>
      <c r="F10" s="72">
        <v>3933087.05</v>
      </c>
      <c r="G10" s="92">
        <v>2576419.59</v>
      </c>
      <c r="H10" s="24"/>
    </row>
    <row r="11" spans="1:8" ht="31.5" customHeight="1" x14ac:dyDescent="0.25">
      <c r="A11" s="83"/>
      <c r="B11" s="2" t="s">
        <v>50</v>
      </c>
      <c r="C11" s="11">
        <v>60111.58</v>
      </c>
      <c r="D11" s="16">
        <v>24616.85</v>
      </c>
      <c r="E11" s="24">
        <v>47865.1</v>
      </c>
      <c r="F11" s="72">
        <v>20390.34</v>
      </c>
      <c r="G11" s="92">
        <v>39851.550000000003</v>
      </c>
      <c r="H11" s="24"/>
    </row>
    <row r="12" spans="1:8" ht="18.75" customHeight="1" x14ac:dyDescent="0.25">
      <c r="A12" s="83"/>
      <c r="B12" s="2" t="s">
        <v>51</v>
      </c>
      <c r="C12" s="11">
        <v>2654140.56</v>
      </c>
      <c r="D12" s="16">
        <v>2262643.96</v>
      </c>
      <c r="E12" s="24">
        <v>3249725.61</v>
      </c>
      <c r="F12" s="72">
        <v>4532037.6100000003</v>
      </c>
      <c r="G12" s="92">
        <v>3476412.36</v>
      </c>
      <c r="H12" s="24"/>
    </row>
    <row r="13" spans="1:8" ht="30.75" customHeight="1" x14ac:dyDescent="0.25">
      <c r="A13" s="83"/>
      <c r="B13" s="2" t="s">
        <v>30</v>
      </c>
      <c r="C13" s="11">
        <v>93461.24</v>
      </c>
      <c r="D13" s="16">
        <v>107662.39</v>
      </c>
      <c r="E13" s="24">
        <v>11685.44</v>
      </c>
      <c r="F13" s="72">
        <v>4359.78</v>
      </c>
      <c r="G13" s="93">
        <v>18233.240000000002</v>
      </c>
      <c r="H13" s="24"/>
    </row>
    <row r="14" spans="1:8" ht="18.75" customHeight="1" x14ac:dyDescent="0.25">
      <c r="A14" s="83"/>
      <c r="B14" s="2" t="s">
        <v>31</v>
      </c>
      <c r="C14" s="11">
        <v>170426.66</v>
      </c>
      <c r="D14" s="16">
        <v>170624.22</v>
      </c>
      <c r="E14" s="24">
        <v>210807.02</v>
      </c>
      <c r="F14" s="72">
        <v>331146.3</v>
      </c>
      <c r="G14" s="93">
        <v>346666.7</v>
      </c>
      <c r="H14" s="24"/>
    </row>
    <row r="15" spans="1:8" ht="30" customHeight="1" x14ac:dyDescent="0.25">
      <c r="A15" s="83"/>
      <c r="B15" s="2" t="s">
        <v>45</v>
      </c>
      <c r="C15" s="11">
        <v>672184.33</v>
      </c>
      <c r="D15" s="16">
        <v>674938.33</v>
      </c>
      <c r="E15" s="16">
        <v>677245.33</v>
      </c>
      <c r="F15" s="72">
        <v>696773.33</v>
      </c>
      <c r="G15" s="94">
        <v>693166.76</v>
      </c>
      <c r="H15" s="24"/>
    </row>
    <row r="16" spans="1:8" ht="29.25" customHeight="1" x14ac:dyDescent="0.25">
      <c r="A16" s="83"/>
      <c r="B16" s="2" t="s">
        <v>46</v>
      </c>
      <c r="C16" s="11">
        <v>0</v>
      </c>
      <c r="D16" s="16">
        <v>0</v>
      </c>
      <c r="E16" s="21">
        <v>0</v>
      </c>
      <c r="F16" s="72">
        <v>0</v>
      </c>
      <c r="G16" s="92">
        <v>0</v>
      </c>
      <c r="H16" s="24"/>
    </row>
    <row r="17" spans="1:8" ht="30.75" customHeight="1" x14ac:dyDescent="0.25">
      <c r="A17" s="83"/>
      <c r="B17" s="2" t="s">
        <v>41</v>
      </c>
      <c r="C17" s="11">
        <v>376876.04</v>
      </c>
      <c r="D17" s="16">
        <v>374476.04</v>
      </c>
      <c r="E17" s="16">
        <v>374476.04</v>
      </c>
      <c r="F17" s="72">
        <v>285275.84000000003</v>
      </c>
      <c r="G17" s="95">
        <v>974950.54</v>
      </c>
      <c r="H17" s="24"/>
    </row>
    <row r="18" spans="1:8" ht="30" customHeight="1" x14ac:dyDescent="0.25">
      <c r="A18" s="83"/>
      <c r="B18" s="2" t="s">
        <v>42</v>
      </c>
      <c r="C18" s="11">
        <v>0</v>
      </c>
      <c r="D18" s="16">
        <v>0</v>
      </c>
      <c r="E18" s="16">
        <v>0</v>
      </c>
      <c r="F18" s="72">
        <v>0</v>
      </c>
      <c r="G18" s="92">
        <v>0</v>
      </c>
      <c r="H18" s="24"/>
    </row>
    <row r="19" spans="1:8" ht="29.25" customHeight="1" x14ac:dyDescent="0.25">
      <c r="A19" s="52"/>
      <c r="B19" s="53"/>
      <c r="C19" s="53"/>
      <c r="D19" s="54"/>
      <c r="E19" s="54"/>
      <c r="F19" s="54"/>
      <c r="G19" s="56"/>
      <c r="H19" s="55"/>
    </row>
    <row r="20" spans="1:8" ht="29.25" customHeight="1" x14ac:dyDescent="0.25">
      <c r="A20" s="52"/>
      <c r="B20" s="53"/>
      <c r="C20" s="53"/>
      <c r="D20" s="54"/>
      <c r="E20" s="54"/>
      <c r="F20" s="54"/>
      <c r="G20" s="56"/>
      <c r="H20" s="55"/>
    </row>
    <row r="21" spans="1:8" ht="29.25" customHeight="1" x14ac:dyDescent="0.25">
      <c r="A21" s="52"/>
      <c r="B21" s="53"/>
      <c r="C21" s="53"/>
      <c r="D21" s="54"/>
      <c r="E21" s="54"/>
      <c r="F21" s="54"/>
      <c r="G21" s="56"/>
      <c r="H21" s="55"/>
    </row>
    <row r="22" spans="1:8" ht="29.25" customHeight="1" x14ac:dyDescent="0.25">
      <c r="A22" s="52"/>
      <c r="B22" s="53"/>
      <c r="C22" s="53"/>
      <c r="D22" s="54"/>
      <c r="E22" s="54"/>
      <c r="F22" s="54"/>
      <c r="G22" s="56"/>
      <c r="H22" s="55"/>
    </row>
    <row r="23" spans="1:8" ht="29.25" customHeight="1" x14ac:dyDescent="0.25">
      <c r="A23" s="52"/>
      <c r="B23" s="53"/>
      <c r="C23" s="53"/>
      <c r="D23" s="54"/>
      <c r="E23" s="54"/>
      <c r="F23" s="54"/>
      <c r="G23" s="56"/>
      <c r="H23" s="55"/>
    </row>
    <row r="24" spans="1:8" ht="29.25" customHeight="1" x14ac:dyDescent="0.25">
      <c r="A24" s="52"/>
      <c r="B24" s="53"/>
      <c r="C24" s="53"/>
      <c r="D24" s="54"/>
      <c r="E24" s="54"/>
      <c r="F24" s="54"/>
      <c r="G24" s="56"/>
      <c r="H24" s="55"/>
    </row>
    <row r="25" spans="1:8" ht="15.75" thickBot="1" x14ac:dyDescent="0.3">
      <c r="B25" s="4"/>
      <c r="C25" s="4"/>
      <c r="D25" s="4"/>
      <c r="E25" s="5"/>
      <c r="F25" s="5"/>
      <c r="G25" s="5"/>
      <c r="H25" s="5"/>
    </row>
    <row r="26" spans="1:8" ht="27" customHeight="1" thickTop="1" x14ac:dyDescent="0.25">
      <c r="A26" s="36">
        <v>2</v>
      </c>
      <c r="B26" s="37" t="s">
        <v>2</v>
      </c>
      <c r="C26" s="77">
        <f t="shared" ref="C26:H26" si="1">SUM(C27:C38)</f>
        <v>284812.93000000005</v>
      </c>
      <c r="D26" s="38">
        <f t="shared" si="1"/>
        <v>14986401.829999998</v>
      </c>
      <c r="E26" s="38">
        <f>SUM(E27:E38)</f>
        <v>34992735.379999995</v>
      </c>
      <c r="F26" s="38">
        <f>SUM(F27:F38)</f>
        <v>9680208.9900000002</v>
      </c>
      <c r="G26" s="38">
        <f>SUM(G27:G38)</f>
        <v>6675366.580000001</v>
      </c>
      <c r="H26" s="38">
        <f t="shared" si="1"/>
        <v>0</v>
      </c>
    </row>
    <row r="27" spans="1:8" ht="15.75" customHeight="1" x14ac:dyDescent="0.25">
      <c r="A27" s="84"/>
      <c r="B27" s="2" t="s">
        <v>3</v>
      </c>
      <c r="C27" s="75">
        <v>0</v>
      </c>
      <c r="D27" s="79">
        <v>3040864.56</v>
      </c>
      <c r="E27" s="3">
        <v>3822420.15</v>
      </c>
      <c r="F27" s="24">
        <v>2544892.62</v>
      </c>
      <c r="G27" s="3">
        <v>3132541.34</v>
      </c>
      <c r="H27" s="24"/>
    </row>
    <row r="28" spans="1:8" x14ac:dyDescent="0.25">
      <c r="A28" s="85"/>
      <c r="B28" s="2" t="s">
        <v>4</v>
      </c>
      <c r="C28" s="11">
        <v>0</v>
      </c>
      <c r="D28" s="24">
        <v>8171668.2000000002</v>
      </c>
      <c r="E28" s="3">
        <v>27415090.75</v>
      </c>
      <c r="F28" s="24">
        <v>3767400</v>
      </c>
      <c r="G28" s="3">
        <v>0</v>
      </c>
      <c r="H28" s="24"/>
    </row>
    <row r="29" spans="1:8" ht="18" customHeight="1" x14ac:dyDescent="0.25">
      <c r="A29" s="85"/>
      <c r="B29" s="2" t="s">
        <v>5</v>
      </c>
      <c r="C29" s="11">
        <v>0</v>
      </c>
      <c r="D29" s="24">
        <v>1463519.11</v>
      </c>
      <c r="E29" s="3">
        <v>1348516.05</v>
      </c>
      <c r="F29" s="24">
        <v>1554732.62</v>
      </c>
      <c r="G29" s="3">
        <v>0</v>
      </c>
      <c r="H29" s="24"/>
    </row>
    <row r="30" spans="1:8" ht="30" customHeight="1" x14ac:dyDescent="0.25">
      <c r="A30" s="85"/>
      <c r="B30" s="2" t="s">
        <v>52</v>
      </c>
      <c r="C30" s="11">
        <v>0</v>
      </c>
      <c r="D30" s="24">
        <v>71829.740000000005</v>
      </c>
      <c r="E30" s="24">
        <v>71955.02</v>
      </c>
      <c r="F30" s="24">
        <v>76346.78</v>
      </c>
      <c r="G30" s="3">
        <v>71191.839999999997</v>
      </c>
      <c r="H30" s="24"/>
    </row>
    <row r="31" spans="1:8" ht="20.25" customHeight="1" x14ac:dyDescent="0.25">
      <c r="A31" s="85"/>
      <c r="B31" s="2" t="s">
        <v>53</v>
      </c>
      <c r="C31" s="11">
        <v>0</v>
      </c>
      <c r="D31" s="24">
        <v>1987000</v>
      </c>
      <c r="E31" s="24">
        <v>1897274.93</v>
      </c>
      <c r="F31" s="24">
        <v>0</v>
      </c>
      <c r="G31" s="3">
        <v>3098012.49</v>
      </c>
      <c r="H31" s="24"/>
    </row>
    <row r="32" spans="1:8" ht="21" customHeight="1" x14ac:dyDescent="0.25">
      <c r="A32" s="85"/>
      <c r="B32" s="2" t="s">
        <v>29</v>
      </c>
      <c r="C32" s="11">
        <v>80000</v>
      </c>
      <c r="D32" s="3">
        <v>0</v>
      </c>
      <c r="E32" s="24">
        <v>160000</v>
      </c>
      <c r="F32" s="24">
        <v>80000</v>
      </c>
      <c r="G32" s="24">
        <v>80000</v>
      </c>
      <c r="H32" s="24"/>
    </row>
    <row r="33" spans="1:11" ht="18.75" customHeight="1" x14ac:dyDescent="0.25">
      <c r="A33" s="85"/>
      <c r="B33" s="2" t="s">
        <v>21</v>
      </c>
      <c r="C33" s="11">
        <v>54701.159999999996</v>
      </c>
      <c r="D33" s="3">
        <f>41796.62+182.8</f>
        <v>41979.420000000006</v>
      </c>
      <c r="E33" s="3">
        <f>40532.33+2994.2+6522.75+25910.06+5312+339.28</f>
        <v>81610.62</v>
      </c>
      <c r="F33" s="24">
        <f>39877.86+2799.06+6332.54+18047.33+7374.75+520.4</f>
        <v>74951.94</v>
      </c>
      <c r="G33" s="24">
        <f>54829.1+3707.54+6625.21+5422.4+9178.55+709.14</f>
        <v>80471.94</v>
      </c>
      <c r="H33" s="24"/>
    </row>
    <row r="34" spans="1:11" ht="20.25" customHeight="1" x14ac:dyDescent="0.25">
      <c r="A34" s="85"/>
      <c r="B34" s="6" t="s">
        <v>22</v>
      </c>
      <c r="C34" s="10">
        <v>40936.11</v>
      </c>
      <c r="D34" s="3">
        <v>57970.01</v>
      </c>
      <c r="E34" s="24">
        <f>51204.69+798+259.86</f>
        <v>52262.55</v>
      </c>
      <c r="F34" s="24">
        <f>62992.58+0.01+0.03+5880.2</f>
        <v>68872.820000000007</v>
      </c>
      <c r="G34" s="24">
        <f>100260.63+1127.86</f>
        <v>101388.49</v>
      </c>
      <c r="H34" s="24"/>
    </row>
    <row r="35" spans="1:11" ht="19.5" customHeight="1" x14ac:dyDescent="0.25">
      <c r="A35" s="85"/>
      <c r="B35" s="2" t="s">
        <v>6</v>
      </c>
      <c r="C35" s="11">
        <v>102841.66</v>
      </c>
      <c r="D35" s="24">
        <v>149143.79</v>
      </c>
      <c r="E35" s="24">
        <v>123999.96</v>
      </c>
      <c r="F35" s="24">
        <f>89319+457976.22</f>
        <v>547295.22</v>
      </c>
      <c r="G35" s="91">
        <f>2345+94377.97</f>
        <v>96722.97</v>
      </c>
      <c r="H35" s="24"/>
      <c r="I35" s="49"/>
    </row>
    <row r="36" spans="1:11" ht="18" customHeight="1" x14ac:dyDescent="0.25">
      <c r="A36" s="85"/>
      <c r="B36" s="2" t="s">
        <v>33</v>
      </c>
      <c r="C36" s="11">
        <v>2754</v>
      </c>
      <c r="D36" s="24">
        <v>2307</v>
      </c>
      <c r="E36" s="7">
        <v>19528</v>
      </c>
      <c r="F36" s="24">
        <v>46607.43</v>
      </c>
      <c r="G36" s="24">
        <v>6795.4</v>
      </c>
      <c r="H36" s="24"/>
      <c r="I36" s="49"/>
    </row>
    <row r="37" spans="1:11" ht="21" customHeight="1" x14ac:dyDescent="0.25">
      <c r="A37" s="85"/>
      <c r="B37" s="2" t="s">
        <v>43</v>
      </c>
      <c r="C37" s="11">
        <v>0</v>
      </c>
      <c r="D37" s="24">
        <v>0</v>
      </c>
      <c r="E37" s="7">
        <v>0</v>
      </c>
      <c r="F37" s="24">
        <v>915914.7</v>
      </c>
      <c r="G37" s="24">
        <v>0</v>
      </c>
      <c r="H37" s="24"/>
      <c r="I37" s="49"/>
      <c r="J37" s="49"/>
    </row>
    <row r="38" spans="1:11" ht="21.75" customHeight="1" thickBot="1" x14ac:dyDescent="0.3">
      <c r="A38" s="86"/>
      <c r="B38" s="33" t="s">
        <v>7</v>
      </c>
      <c r="C38" s="76">
        <v>3580</v>
      </c>
      <c r="D38" s="57">
        <v>120</v>
      </c>
      <c r="E38" s="34">
        <v>77.349999999999994</v>
      </c>
      <c r="F38" s="35">
        <f>1952.01+93.45+329.25+0+746.3+73.85</f>
        <v>3194.86</v>
      </c>
      <c r="G38" s="34">
        <f>2.7+2113.65+395.1+2225.02+983.34+2412.55+109.75</f>
        <v>8242.11</v>
      </c>
      <c r="H38" s="35"/>
    </row>
    <row r="39" spans="1:11" ht="16.5" thickTop="1" thickBot="1" x14ac:dyDescent="0.3">
      <c r="B39" s="4"/>
      <c r="C39" s="4"/>
      <c r="D39" s="4"/>
      <c r="E39" s="5"/>
      <c r="F39" s="5"/>
      <c r="G39" s="5"/>
      <c r="H39" s="5"/>
    </row>
    <row r="40" spans="1:11" ht="23.25" customHeight="1" thickTop="1" x14ac:dyDescent="0.25">
      <c r="A40" s="50">
        <v>3</v>
      </c>
      <c r="B40" s="37" t="s">
        <v>23</v>
      </c>
      <c r="C40" s="39">
        <f>C41+C46+C51+C56+C61+C66+C77+C82+C87+C96+C100+C107+C113+C127+C118+C123+C125+C91</f>
        <v>12542815.68</v>
      </c>
      <c r="D40" s="39">
        <f>D41+D46+D51+D56+D61+D66+D77+D82+D87+D96+D100+D107+D113+D127+D118+D123+D125+D91</f>
        <v>13031957.329999998</v>
      </c>
      <c r="E40" s="39">
        <f>E41+E46+E51+E56+E61+E66+E77+E82+E87+E96+E100+E107+E113+E127+E118+E123+E125+E91</f>
        <v>26105617.329999994</v>
      </c>
      <c r="F40" s="39">
        <f>F41+F46+F51+F56+F61+F66+F77+F82+F87+F96+F100+F107+F113+F127+F118+F123+F125+F91+F71</f>
        <v>10802913.369999999</v>
      </c>
      <c r="G40" s="39">
        <f>G41+G46+G51+G56+G61+G66+G77+G82+G87+G96+G100+G107+G113+G127+G118+G123+G125+G91+G71</f>
        <v>16021233.289999999</v>
      </c>
      <c r="H40" s="39">
        <f>H41+H46+H51+H56+H61+H66+H77+H82+H87+H96+H100+H107+H113+H127+H118+H123+H125+H91</f>
        <v>0</v>
      </c>
      <c r="I40" s="27"/>
    </row>
    <row r="41" spans="1:11" ht="15" customHeight="1" x14ac:dyDescent="0.25">
      <c r="A41" s="80"/>
      <c r="B41" s="8" t="s">
        <v>34</v>
      </c>
      <c r="C41" s="9">
        <f t="shared" ref="C41:H41" si="2">C42+C43+C45+C44</f>
        <v>467202.2</v>
      </c>
      <c r="D41" s="9">
        <f t="shared" si="2"/>
        <v>611426.53999999992</v>
      </c>
      <c r="E41" s="9">
        <f>E42+E43+E45+E44</f>
        <v>503506.55</v>
      </c>
      <c r="F41" s="9">
        <f>F42+F43+F45+F44</f>
        <v>710002.69</v>
      </c>
      <c r="G41" s="9">
        <f>G42+G43+G45+G44</f>
        <v>481117.83</v>
      </c>
      <c r="H41" s="45">
        <f t="shared" si="2"/>
        <v>0</v>
      </c>
    </row>
    <row r="42" spans="1:11" x14ac:dyDescent="0.25">
      <c r="A42" s="81"/>
      <c r="B42" s="6" t="s">
        <v>8</v>
      </c>
      <c r="C42" s="10">
        <v>328019.01</v>
      </c>
      <c r="D42" s="10">
        <v>336540.67</v>
      </c>
      <c r="E42" s="10">
        <v>334390.83</v>
      </c>
      <c r="F42" s="10">
        <v>342253.43</v>
      </c>
      <c r="G42" s="10">
        <v>338133.86</v>
      </c>
      <c r="H42" s="16"/>
      <c r="I42" s="25"/>
      <c r="J42" s="26"/>
      <c r="K42" s="27"/>
    </row>
    <row r="43" spans="1:11" x14ac:dyDescent="0.25">
      <c r="A43" s="81"/>
      <c r="B43" s="6" t="s">
        <v>9</v>
      </c>
      <c r="C43" s="10">
        <v>132680.45000000001</v>
      </c>
      <c r="D43" s="10">
        <f>770+260839.23</f>
        <v>261609.23</v>
      </c>
      <c r="E43" s="10">
        <f>129383.68+23183.88</f>
        <v>152567.56</v>
      </c>
      <c r="F43" s="10">
        <f>15895.27+350898.54+93.45</f>
        <v>366887.26</v>
      </c>
      <c r="G43" s="10">
        <f>120639.32+8800+93.45</f>
        <v>129532.77</v>
      </c>
      <c r="H43" s="16"/>
      <c r="I43" s="25"/>
      <c r="J43" s="26"/>
      <c r="K43" s="27"/>
    </row>
    <row r="44" spans="1:11" x14ac:dyDescent="0.25">
      <c r="A44" s="81"/>
      <c r="B44" s="6" t="s">
        <v>54</v>
      </c>
      <c r="C44" s="10">
        <v>0</v>
      </c>
      <c r="D44" s="10">
        <v>88.57</v>
      </c>
      <c r="E44" s="10">
        <v>2449.92</v>
      </c>
      <c r="F44" s="10">
        <v>0</v>
      </c>
      <c r="G44" s="10">
        <v>8293.09</v>
      </c>
      <c r="H44" s="16"/>
      <c r="I44" s="25"/>
      <c r="J44" s="26"/>
      <c r="K44" s="27"/>
    </row>
    <row r="45" spans="1:11" x14ac:dyDescent="0.25">
      <c r="A45" s="82"/>
      <c r="B45" s="6" t="s">
        <v>27</v>
      </c>
      <c r="C45" s="10">
        <v>6502.74</v>
      </c>
      <c r="D45" s="10">
        <v>13188.07</v>
      </c>
      <c r="E45" s="10">
        <v>14098.24</v>
      </c>
      <c r="F45" s="10">
        <v>862</v>
      </c>
      <c r="G45" s="10">
        <v>5158.1099999999997</v>
      </c>
      <c r="H45" s="16"/>
      <c r="I45" s="25"/>
      <c r="J45" s="26"/>
      <c r="K45" s="27"/>
    </row>
    <row r="46" spans="1:11" x14ac:dyDescent="0.25">
      <c r="A46" s="80"/>
      <c r="B46" s="8" t="s">
        <v>35</v>
      </c>
      <c r="C46" s="9">
        <f t="shared" ref="C46:H46" si="3">C47+C48+C50+C49</f>
        <v>126691.82</v>
      </c>
      <c r="D46" s="9">
        <f t="shared" si="3"/>
        <v>338426.06</v>
      </c>
      <c r="E46" s="9">
        <f>E47+E48+E50+E49</f>
        <v>136725.26999999999</v>
      </c>
      <c r="F46" s="9">
        <f>F47+F48+F50+F49</f>
        <v>310426.59000000003</v>
      </c>
      <c r="G46" s="9">
        <f>G47+G48+G50+G49</f>
        <v>201757.80000000002</v>
      </c>
      <c r="H46" s="45">
        <f t="shared" si="3"/>
        <v>0</v>
      </c>
      <c r="I46" s="25"/>
      <c r="J46" s="26"/>
      <c r="K46" s="27"/>
    </row>
    <row r="47" spans="1:11" x14ac:dyDescent="0.25">
      <c r="A47" s="81"/>
      <c r="B47" s="6" t="s">
        <v>8</v>
      </c>
      <c r="C47" s="10">
        <v>99164.53</v>
      </c>
      <c r="D47" s="10">
        <v>92310.65</v>
      </c>
      <c r="E47" s="10">
        <v>99805.62</v>
      </c>
      <c r="F47" s="10">
        <v>106944.9</v>
      </c>
      <c r="G47" s="10">
        <v>96401.02</v>
      </c>
      <c r="H47" s="16"/>
      <c r="I47" s="25"/>
      <c r="J47" s="26"/>
      <c r="K47" s="27"/>
    </row>
    <row r="48" spans="1:11" x14ac:dyDescent="0.25">
      <c r="A48" s="81"/>
      <c r="B48" s="2" t="s">
        <v>9</v>
      </c>
      <c r="C48" s="11">
        <v>22904.19</v>
      </c>
      <c r="D48" s="10">
        <f>8800+63324.61</f>
        <v>72124.61</v>
      </c>
      <c r="E48" s="11">
        <f>20690.58+9949.07</f>
        <v>30639.65</v>
      </c>
      <c r="F48" s="11">
        <f>9533.91+67557.89</f>
        <v>77091.8</v>
      </c>
      <c r="G48" s="11">
        <f>22055.78+27214.52</f>
        <v>49270.3</v>
      </c>
      <c r="H48" s="16"/>
      <c r="I48" s="25"/>
    </row>
    <row r="49" spans="1:10" x14ac:dyDescent="0.25">
      <c r="A49" s="81"/>
      <c r="B49" s="2" t="s">
        <v>54</v>
      </c>
      <c r="C49" s="11">
        <v>0</v>
      </c>
      <c r="D49" s="10">
        <v>0</v>
      </c>
      <c r="E49" s="11">
        <v>0</v>
      </c>
      <c r="F49" s="11">
        <v>0</v>
      </c>
      <c r="G49" s="11">
        <v>0</v>
      </c>
      <c r="H49" s="16"/>
      <c r="I49" s="25"/>
    </row>
    <row r="50" spans="1:10" x14ac:dyDescent="0.25">
      <c r="A50" s="82"/>
      <c r="B50" s="2" t="s">
        <v>27</v>
      </c>
      <c r="C50" s="11">
        <v>4623.1000000000004</v>
      </c>
      <c r="D50" s="10">
        <v>173990.8</v>
      </c>
      <c r="E50" s="11">
        <v>6280</v>
      </c>
      <c r="F50" s="11">
        <v>126389.89</v>
      </c>
      <c r="G50" s="11">
        <v>56086.48</v>
      </c>
      <c r="H50" s="16"/>
      <c r="I50" s="25"/>
    </row>
    <row r="51" spans="1:10" x14ac:dyDescent="0.25">
      <c r="A51" s="80"/>
      <c r="B51" s="12" t="s">
        <v>36</v>
      </c>
      <c r="C51" s="13">
        <f>C52+C53+C54+C55</f>
        <v>64691.289999999994</v>
      </c>
      <c r="D51" s="9">
        <f>D52+D53+D54+D55</f>
        <v>98412.61</v>
      </c>
      <c r="E51" s="9">
        <f>E52+E53+E54+E55</f>
        <v>69842.5</v>
      </c>
      <c r="F51" s="13">
        <f>F52+F53+F55+F54</f>
        <v>202354.9</v>
      </c>
      <c r="G51" s="13">
        <f>G52+G53+G55+G54</f>
        <v>67056.820000000007</v>
      </c>
      <c r="H51" s="45">
        <f>H52+H53+H55+H54</f>
        <v>0</v>
      </c>
      <c r="I51" s="25"/>
    </row>
    <row r="52" spans="1:10" x14ac:dyDescent="0.25">
      <c r="A52" s="81"/>
      <c r="B52" s="2" t="s">
        <v>8</v>
      </c>
      <c r="C52" s="11">
        <v>51257.95</v>
      </c>
      <c r="D52" s="10">
        <v>49461.73</v>
      </c>
      <c r="E52" s="11">
        <v>59466.44</v>
      </c>
      <c r="F52" s="11">
        <v>55945.82</v>
      </c>
      <c r="G52" s="11">
        <v>47861.82</v>
      </c>
      <c r="H52" s="16"/>
      <c r="I52" s="25"/>
      <c r="J52" s="26"/>
    </row>
    <row r="53" spans="1:10" x14ac:dyDescent="0.25">
      <c r="A53" s="81"/>
      <c r="B53" s="2" t="s">
        <v>9</v>
      </c>
      <c r="C53" s="11">
        <v>13433.34</v>
      </c>
      <c r="D53" s="10">
        <f>135.45+48815.43</f>
        <v>48950.879999999997</v>
      </c>
      <c r="E53" s="16">
        <f>3632.4+3655.66</f>
        <v>7288.0599999999995</v>
      </c>
      <c r="F53" s="11">
        <f>5374.34+51256.84</f>
        <v>56631.179999999993</v>
      </c>
      <c r="G53" s="11">
        <f>16995+2200</f>
        <v>19195</v>
      </c>
      <c r="H53" s="16"/>
      <c r="I53" s="25"/>
      <c r="J53" s="26"/>
    </row>
    <row r="54" spans="1:10" x14ac:dyDescent="0.25">
      <c r="A54" s="81"/>
      <c r="B54" s="2" t="s">
        <v>54</v>
      </c>
      <c r="C54" s="11">
        <v>0</v>
      </c>
      <c r="D54" s="10">
        <v>0</v>
      </c>
      <c r="E54" s="11">
        <v>0</v>
      </c>
      <c r="F54" s="11">
        <v>0</v>
      </c>
      <c r="G54" s="11">
        <v>0</v>
      </c>
      <c r="H54" s="16"/>
      <c r="I54" s="25"/>
      <c r="J54" s="26"/>
    </row>
    <row r="55" spans="1:10" x14ac:dyDescent="0.25">
      <c r="A55" s="82"/>
      <c r="B55" s="2" t="s">
        <v>27</v>
      </c>
      <c r="C55" s="11">
        <v>0</v>
      </c>
      <c r="D55" s="10">
        <v>0</v>
      </c>
      <c r="E55" s="11">
        <v>3088</v>
      </c>
      <c r="F55" s="11">
        <v>89777.9</v>
      </c>
      <c r="G55" s="11">
        <v>0</v>
      </c>
      <c r="H55" s="16"/>
      <c r="I55" s="25"/>
    </row>
    <row r="56" spans="1:10" x14ac:dyDescent="0.25">
      <c r="A56" s="80"/>
      <c r="B56" s="14" t="s">
        <v>37</v>
      </c>
      <c r="C56" s="58">
        <f t="shared" ref="C56:H56" si="4">C57+C58+C60+C59</f>
        <v>45202.76</v>
      </c>
      <c r="D56" s="9">
        <f t="shared" si="4"/>
        <v>79673.42</v>
      </c>
      <c r="E56" s="9">
        <f t="shared" si="4"/>
        <v>35689.43</v>
      </c>
      <c r="F56" s="13">
        <f t="shared" si="4"/>
        <v>88788.479999999996</v>
      </c>
      <c r="G56" s="13">
        <f t="shared" si="4"/>
        <v>47771.97</v>
      </c>
      <c r="H56" s="45">
        <f t="shared" si="4"/>
        <v>0</v>
      </c>
      <c r="I56" s="25"/>
    </row>
    <row r="57" spans="1:10" x14ac:dyDescent="0.25">
      <c r="A57" s="81"/>
      <c r="B57" s="2" t="s">
        <v>8</v>
      </c>
      <c r="C57" s="11">
        <v>29073.56</v>
      </c>
      <c r="D57" s="10">
        <v>29022.959999999999</v>
      </c>
      <c r="E57" s="11">
        <v>27731.66</v>
      </c>
      <c r="F57" s="11">
        <v>27697.06</v>
      </c>
      <c r="G57" s="11">
        <v>26688.86</v>
      </c>
      <c r="H57" s="16"/>
      <c r="I57" s="25"/>
    </row>
    <row r="58" spans="1:10" x14ac:dyDescent="0.25">
      <c r="A58" s="81"/>
      <c r="B58" s="2" t="s">
        <v>9</v>
      </c>
      <c r="C58" s="11">
        <v>16129.2</v>
      </c>
      <c r="D58" s="10">
        <f>1207.45+49443.01</f>
        <v>50650.46</v>
      </c>
      <c r="E58" s="11">
        <f>4457.4+3500.37</f>
        <v>7957.7699999999995</v>
      </c>
      <c r="F58" s="11">
        <f>6657.81+54433.61</f>
        <v>61091.42</v>
      </c>
      <c r="G58" s="11">
        <f>17561.66+3521.45</f>
        <v>21083.11</v>
      </c>
      <c r="H58" s="16"/>
      <c r="I58" s="25"/>
    </row>
    <row r="59" spans="1:10" x14ac:dyDescent="0.25">
      <c r="A59" s="81"/>
      <c r="B59" s="2" t="s">
        <v>54</v>
      </c>
      <c r="C59" s="11">
        <v>0</v>
      </c>
      <c r="D59" s="10">
        <v>0</v>
      </c>
      <c r="E59" s="11">
        <v>0</v>
      </c>
      <c r="F59" s="11">
        <v>0</v>
      </c>
      <c r="G59" s="11">
        <v>0</v>
      </c>
      <c r="H59" s="16"/>
      <c r="I59" s="25"/>
    </row>
    <row r="60" spans="1:10" x14ac:dyDescent="0.25">
      <c r="A60" s="82"/>
      <c r="B60" s="2" t="s">
        <v>27</v>
      </c>
      <c r="C60" s="11">
        <v>0</v>
      </c>
      <c r="D60" s="10">
        <v>0</v>
      </c>
      <c r="E60" s="11">
        <v>0</v>
      </c>
      <c r="F60" s="11">
        <v>0</v>
      </c>
      <c r="G60" s="11">
        <v>0</v>
      </c>
      <c r="H60" s="16"/>
      <c r="I60" s="25"/>
    </row>
    <row r="61" spans="1:10" ht="26.25" x14ac:dyDescent="0.25">
      <c r="A61" s="80"/>
      <c r="B61" s="14" t="s">
        <v>40</v>
      </c>
      <c r="C61" s="58">
        <f t="shared" ref="C61:H61" si="5">C62+C63+C65+C64</f>
        <v>39490.840000000004</v>
      </c>
      <c r="D61" s="9">
        <f t="shared" si="5"/>
        <v>76390.790000000008</v>
      </c>
      <c r="E61" s="9">
        <f t="shared" si="5"/>
        <v>41388.74</v>
      </c>
      <c r="F61" s="13">
        <f t="shared" si="5"/>
        <v>126300.9</v>
      </c>
      <c r="G61" s="13">
        <f t="shared" si="5"/>
        <v>48019.16</v>
      </c>
      <c r="H61" s="45">
        <f t="shared" si="5"/>
        <v>0</v>
      </c>
      <c r="I61" s="25"/>
    </row>
    <row r="62" spans="1:10" x14ac:dyDescent="0.25">
      <c r="A62" s="81"/>
      <c r="B62" s="2" t="s">
        <v>8</v>
      </c>
      <c r="C62" s="11">
        <v>23446.83</v>
      </c>
      <c r="D62" s="10">
        <v>25681.11</v>
      </c>
      <c r="E62" s="11">
        <v>24110.25</v>
      </c>
      <c r="F62" s="11">
        <v>33315.730000000003</v>
      </c>
      <c r="G62" s="11">
        <v>22102.68</v>
      </c>
      <c r="H62" s="16"/>
      <c r="I62" s="25"/>
    </row>
    <row r="63" spans="1:10" x14ac:dyDescent="0.25">
      <c r="A63" s="81"/>
      <c r="B63" s="2" t="s">
        <v>9</v>
      </c>
      <c r="C63" s="11">
        <f>11251.67+4792.34</f>
        <v>16044.01</v>
      </c>
      <c r="D63" s="10">
        <f>1431.41+49278.27</f>
        <v>50709.68</v>
      </c>
      <c r="E63" s="11">
        <f>12142.75+4445.54</f>
        <v>16588.29</v>
      </c>
      <c r="F63" s="11">
        <f>823.65+88673.52</f>
        <v>89497.17</v>
      </c>
      <c r="G63" s="11">
        <f>16160.83+9755.65</f>
        <v>25916.48</v>
      </c>
      <c r="H63" s="16"/>
      <c r="I63" s="25"/>
    </row>
    <row r="64" spans="1:10" x14ac:dyDescent="0.25">
      <c r="A64" s="81"/>
      <c r="B64" s="2" t="s">
        <v>54</v>
      </c>
      <c r="C64" s="11">
        <v>0</v>
      </c>
      <c r="D64" s="10">
        <v>0</v>
      </c>
      <c r="E64" s="11">
        <v>0</v>
      </c>
      <c r="F64" s="11">
        <v>0</v>
      </c>
      <c r="G64" s="11">
        <v>0</v>
      </c>
      <c r="H64" s="16"/>
      <c r="I64" s="25"/>
    </row>
    <row r="65" spans="1:9" x14ac:dyDescent="0.25">
      <c r="A65" s="82"/>
      <c r="B65" s="6" t="s">
        <v>27</v>
      </c>
      <c r="C65" s="10">
        <v>0</v>
      </c>
      <c r="D65" s="22">
        <v>0</v>
      </c>
      <c r="E65" s="15">
        <v>690.2</v>
      </c>
      <c r="F65" s="15">
        <v>3488</v>
      </c>
      <c r="G65" s="11">
        <v>0</v>
      </c>
      <c r="H65" s="46"/>
      <c r="I65" s="25"/>
    </row>
    <row r="66" spans="1:9" ht="26.25" x14ac:dyDescent="0.25">
      <c r="A66" s="80"/>
      <c r="B66" s="12" t="s">
        <v>10</v>
      </c>
      <c r="C66" s="13">
        <f t="shared" ref="C66:H66" si="6">C67+C68+C69+C70</f>
        <v>46822.240000000005</v>
      </c>
      <c r="D66" s="9">
        <f t="shared" si="6"/>
        <v>47957.98</v>
      </c>
      <c r="E66" s="9">
        <f t="shared" si="6"/>
        <v>54531.040000000001</v>
      </c>
      <c r="F66" s="13">
        <f t="shared" si="6"/>
        <v>50647.409999999996</v>
      </c>
      <c r="G66" s="13">
        <f t="shared" si="6"/>
        <v>48250.619999999995</v>
      </c>
      <c r="H66" s="45">
        <f t="shared" si="6"/>
        <v>0</v>
      </c>
      <c r="I66" s="25"/>
    </row>
    <row r="67" spans="1:9" x14ac:dyDescent="0.25">
      <c r="A67" s="81"/>
      <c r="B67" s="2" t="s">
        <v>8</v>
      </c>
      <c r="C67" s="11">
        <v>38951.480000000003</v>
      </c>
      <c r="D67" s="10">
        <v>34499.360000000001</v>
      </c>
      <c r="E67" s="11">
        <v>39125.31</v>
      </c>
      <c r="F67" s="11">
        <v>36732.14</v>
      </c>
      <c r="G67" s="11">
        <f>39387.85</f>
        <v>39387.85</v>
      </c>
      <c r="H67" s="16"/>
      <c r="I67" s="25"/>
    </row>
    <row r="68" spans="1:9" x14ac:dyDescent="0.25">
      <c r="A68" s="81"/>
      <c r="B68" s="2" t="s">
        <v>9</v>
      </c>
      <c r="C68" s="11">
        <v>7870.76</v>
      </c>
      <c r="D68" s="10">
        <f>60+13398.62</f>
        <v>13458.62</v>
      </c>
      <c r="E68" s="11">
        <f>13191.2+2214.53</f>
        <v>15405.730000000001</v>
      </c>
      <c r="F68" s="11">
        <f>4.8+13910.47</f>
        <v>13915.269999999999</v>
      </c>
      <c r="G68" s="11">
        <f>4862.77+4000</f>
        <v>8862.77</v>
      </c>
      <c r="H68" s="16"/>
      <c r="I68" s="25"/>
    </row>
    <row r="69" spans="1:9" x14ac:dyDescent="0.25">
      <c r="A69" s="81"/>
      <c r="B69" s="2" t="s">
        <v>54</v>
      </c>
      <c r="C69" s="11">
        <v>0</v>
      </c>
      <c r="D69" s="10">
        <v>0</v>
      </c>
      <c r="E69" s="11">
        <v>0</v>
      </c>
      <c r="F69" s="11">
        <v>0</v>
      </c>
      <c r="G69" s="11">
        <v>0</v>
      </c>
      <c r="H69" s="16"/>
      <c r="I69" s="25"/>
    </row>
    <row r="70" spans="1:9" x14ac:dyDescent="0.25">
      <c r="A70" s="82"/>
      <c r="B70" s="2" t="s">
        <v>27</v>
      </c>
      <c r="C70" s="11">
        <v>0</v>
      </c>
      <c r="D70" s="10">
        <v>0</v>
      </c>
      <c r="E70" s="11">
        <v>0</v>
      </c>
      <c r="F70" s="11">
        <v>0</v>
      </c>
      <c r="G70" s="11">
        <v>0</v>
      </c>
      <c r="H70" s="16"/>
      <c r="I70" s="25"/>
    </row>
    <row r="71" spans="1:9" x14ac:dyDescent="0.25">
      <c r="A71" s="80"/>
      <c r="B71" s="87" t="s">
        <v>62</v>
      </c>
      <c r="C71" s="89">
        <f>SUM(C73:C76)</f>
        <v>0</v>
      </c>
      <c r="D71" s="89">
        <f t="shared" ref="D71:H71" si="7">SUM(D73:D76)</f>
        <v>0</v>
      </c>
      <c r="E71" s="89">
        <f t="shared" si="7"/>
        <v>0</v>
      </c>
      <c r="F71" s="89">
        <f>SUM(F73:F76)</f>
        <v>577.65</v>
      </c>
      <c r="G71" s="89">
        <f>SUM(G73:G76)</f>
        <v>73351.66</v>
      </c>
      <c r="H71" s="89">
        <f t="shared" si="7"/>
        <v>0</v>
      </c>
      <c r="I71" s="25"/>
    </row>
    <row r="72" spans="1:9" ht="14.25" customHeight="1" x14ac:dyDescent="0.25">
      <c r="A72" s="81"/>
      <c r="B72" s="88"/>
      <c r="C72" s="90"/>
      <c r="D72" s="90"/>
      <c r="E72" s="90"/>
      <c r="F72" s="90"/>
      <c r="G72" s="90"/>
      <c r="H72" s="90"/>
      <c r="I72" s="25"/>
    </row>
    <row r="73" spans="1:9" x14ac:dyDescent="0.25">
      <c r="A73" s="81"/>
      <c r="B73" s="2" t="s">
        <v>8</v>
      </c>
      <c r="C73" s="11">
        <v>0</v>
      </c>
      <c r="D73" s="10">
        <v>0</v>
      </c>
      <c r="E73" s="11">
        <v>0</v>
      </c>
      <c r="F73" s="11">
        <v>577.65</v>
      </c>
      <c r="G73" s="11">
        <v>38116.879999999997</v>
      </c>
      <c r="H73" s="16"/>
      <c r="I73" s="25"/>
    </row>
    <row r="74" spans="1:9" x14ac:dyDescent="0.25">
      <c r="A74" s="81"/>
      <c r="B74" s="2" t="s">
        <v>9</v>
      </c>
      <c r="C74" s="11">
        <v>0</v>
      </c>
      <c r="D74" s="10">
        <v>0</v>
      </c>
      <c r="E74" s="11">
        <v>0</v>
      </c>
      <c r="F74" s="11">
        <v>0</v>
      </c>
      <c r="G74" s="11">
        <v>35234.78</v>
      </c>
      <c r="H74" s="16"/>
      <c r="I74" s="25"/>
    </row>
    <row r="75" spans="1:9" x14ac:dyDescent="0.25">
      <c r="A75" s="81"/>
      <c r="B75" s="2" t="s">
        <v>54</v>
      </c>
      <c r="C75" s="11">
        <v>0</v>
      </c>
      <c r="D75" s="10">
        <v>0</v>
      </c>
      <c r="E75" s="11">
        <v>0</v>
      </c>
      <c r="F75" s="11">
        <v>0</v>
      </c>
      <c r="G75" s="11">
        <v>0</v>
      </c>
      <c r="H75" s="16"/>
      <c r="I75" s="25"/>
    </row>
    <row r="76" spans="1:9" x14ac:dyDescent="0.25">
      <c r="A76" s="82"/>
      <c r="B76" s="2" t="s">
        <v>27</v>
      </c>
      <c r="C76" s="11">
        <v>0</v>
      </c>
      <c r="D76" s="10">
        <v>0</v>
      </c>
      <c r="E76" s="11">
        <v>0</v>
      </c>
      <c r="F76" s="11">
        <v>0</v>
      </c>
      <c r="G76" s="11">
        <v>0</v>
      </c>
      <c r="H76" s="16"/>
      <c r="I76" s="25"/>
    </row>
    <row r="77" spans="1:9" ht="39" x14ac:dyDescent="0.25">
      <c r="A77" s="80"/>
      <c r="B77" s="14" t="s">
        <v>63</v>
      </c>
      <c r="C77" s="58">
        <f t="shared" ref="C77:H77" si="8">C78+C79+C80+C81</f>
        <v>464455.55</v>
      </c>
      <c r="D77" s="9">
        <f t="shared" si="8"/>
        <v>552488.58000000007</v>
      </c>
      <c r="E77" s="9">
        <f t="shared" si="8"/>
        <v>673798.89999999991</v>
      </c>
      <c r="F77" s="13">
        <f t="shared" si="8"/>
        <v>473314.16</v>
      </c>
      <c r="G77" s="13">
        <f t="shared" si="8"/>
        <v>1079774.1800000002</v>
      </c>
      <c r="H77" s="45">
        <f t="shared" si="8"/>
        <v>0</v>
      </c>
      <c r="I77" s="25"/>
    </row>
    <row r="78" spans="1:9" x14ac:dyDescent="0.25">
      <c r="A78" s="81"/>
      <c r="B78" s="2" t="s">
        <v>8</v>
      </c>
      <c r="C78" s="11">
        <v>184198.93</v>
      </c>
      <c r="D78" s="10">
        <v>197347.69</v>
      </c>
      <c r="E78" s="11">
        <v>196752.66</v>
      </c>
      <c r="F78" s="11">
        <f>200461.24+1499.3</f>
        <v>201960.53999999998</v>
      </c>
      <c r="G78" s="11">
        <f>194939.98+15537.44</f>
        <v>210477.42</v>
      </c>
      <c r="H78" s="16"/>
      <c r="I78" s="25"/>
    </row>
    <row r="79" spans="1:9" x14ac:dyDescent="0.25">
      <c r="A79" s="81"/>
      <c r="B79" s="2" t="s">
        <v>9</v>
      </c>
      <c r="C79" s="11">
        <f>4414.75+270277.87</f>
        <v>274692.62</v>
      </c>
      <c r="D79" s="10">
        <f>1020+354120.89</f>
        <v>355140.89</v>
      </c>
      <c r="E79" s="11">
        <f>451338.05</f>
        <v>451338.05</v>
      </c>
      <c r="F79" s="11">
        <f>80+271273.62</f>
        <v>271353.62</v>
      </c>
      <c r="G79" s="11">
        <f>761252.28+44.48</f>
        <v>761296.76</v>
      </c>
      <c r="H79" s="16"/>
      <c r="I79" s="25"/>
    </row>
    <row r="80" spans="1:9" x14ac:dyDescent="0.25">
      <c r="A80" s="81"/>
      <c r="B80" s="2" t="s">
        <v>54</v>
      </c>
      <c r="C80" s="11">
        <v>0</v>
      </c>
      <c r="D80" s="10">
        <v>0</v>
      </c>
      <c r="E80" s="11">
        <v>25708.19</v>
      </c>
      <c r="F80" s="11">
        <v>0</v>
      </c>
      <c r="G80" s="11">
        <v>0</v>
      </c>
      <c r="H80" s="16"/>
      <c r="I80" s="25"/>
    </row>
    <row r="81" spans="1:9" x14ac:dyDescent="0.25">
      <c r="A81" s="82"/>
      <c r="B81" s="2" t="s">
        <v>27</v>
      </c>
      <c r="C81" s="11">
        <v>5564</v>
      </c>
      <c r="D81" s="10">
        <v>0</v>
      </c>
      <c r="E81" s="11">
        <v>0</v>
      </c>
      <c r="F81" s="11">
        <v>0</v>
      </c>
      <c r="G81" s="11">
        <v>108000</v>
      </c>
      <c r="H81" s="16"/>
      <c r="I81" s="25"/>
    </row>
    <row r="82" spans="1:9" ht="14.25" customHeight="1" x14ac:dyDescent="0.25">
      <c r="A82" s="80"/>
      <c r="B82" s="8" t="s">
        <v>11</v>
      </c>
      <c r="C82" s="9">
        <f t="shared" ref="C82:H82" si="9">C83+C84+C86+C85</f>
        <v>166166.57</v>
      </c>
      <c r="D82" s="9">
        <f>D83+D84+D86+D85</f>
        <v>263907.78000000003</v>
      </c>
      <c r="E82" s="9">
        <f>E83+E84+E86+E85</f>
        <v>192935.72999999998</v>
      </c>
      <c r="F82" s="13">
        <f>F83+F84+F86+F85</f>
        <v>288541.06</v>
      </c>
      <c r="G82" s="13">
        <f>G83+G84+G86+G85</f>
        <v>178313.39</v>
      </c>
      <c r="H82" s="45">
        <f t="shared" si="9"/>
        <v>0</v>
      </c>
      <c r="I82" s="25"/>
    </row>
    <row r="83" spans="1:9" x14ac:dyDescent="0.25">
      <c r="A83" s="81"/>
      <c r="B83" s="6" t="s">
        <v>8</v>
      </c>
      <c r="C83" s="10">
        <v>121745.42</v>
      </c>
      <c r="D83" s="22">
        <v>128126.41</v>
      </c>
      <c r="E83" s="22">
        <v>126671.11</v>
      </c>
      <c r="F83" s="15">
        <v>125750.95</v>
      </c>
      <c r="G83" s="11">
        <v>120467.95</v>
      </c>
      <c r="H83" s="46"/>
      <c r="I83" s="25"/>
    </row>
    <row r="84" spans="1:9" x14ac:dyDescent="0.25">
      <c r="A84" s="81"/>
      <c r="B84" s="6" t="s">
        <v>9</v>
      </c>
      <c r="C84" s="10">
        <f>4427.76+34258.2+624.25</f>
        <v>39310.21</v>
      </c>
      <c r="D84" s="22">
        <f>3000+130511.37</f>
        <v>133511.37</v>
      </c>
      <c r="E84" s="22">
        <f>18768.19+37507.29</f>
        <v>56275.479999999996</v>
      </c>
      <c r="F84" s="15">
        <f>13508.13+144090.98</f>
        <v>157599.11000000002</v>
      </c>
      <c r="G84" s="11">
        <f>45707.24+5020</f>
        <v>50727.24</v>
      </c>
      <c r="H84" s="46"/>
      <c r="I84" s="25"/>
    </row>
    <row r="85" spans="1:9" x14ac:dyDescent="0.25">
      <c r="A85" s="81"/>
      <c r="B85" s="2" t="s">
        <v>54</v>
      </c>
      <c r="C85" s="11">
        <v>0</v>
      </c>
      <c r="D85" s="22">
        <v>0</v>
      </c>
      <c r="E85" s="22">
        <v>0</v>
      </c>
      <c r="F85" s="15">
        <v>5191</v>
      </c>
      <c r="G85" s="11">
        <v>0</v>
      </c>
      <c r="H85" s="46"/>
      <c r="I85" s="25"/>
    </row>
    <row r="86" spans="1:9" x14ac:dyDescent="0.25">
      <c r="A86" s="82"/>
      <c r="B86" s="6" t="s">
        <v>27</v>
      </c>
      <c r="C86" s="10">
        <v>5110.9399999999996</v>
      </c>
      <c r="D86" s="22">
        <v>2270</v>
      </c>
      <c r="E86" s="22">
        <v>9989.14</v>
      </c>
      <c r="F86" s="15">
        <v>0</v>
      </c>
      <c r="G86" s="11">
        <v>7118.2</v>
      </c>
      <c r="H86" s="46"/>
      <c r="I86" s="25"/>
    </row>
    <row r="87" spans="1:9" ht="18" customHeight="1" x14ac:dyDescent="0.25">
      <c r="A87" s="80"/>
      <c r="B87" s="17" t="s">
        <v>12</v>
      </c>
      <c r="C87" s="28">
        <f>C88+C89+C90</f>
        <v>0</v>
      </c>
      <c r="D87" s="9">
        <f>D88+D89+D90</f>
        <v>0</v>
      </c>
      <c r="E87" s="13">
        <f>E88+E89</f>
        <v>0</v>
      </c>
      <c r="F87" s="63">
        <f>F88+F89+F90</f>
        <v>0</v>
      </c>
      <c r="G87" s="13">
        <f>G88+G89+G90</f>
        <v>0</v>
      </c>
      <c r="H87" s="45">
        <f>H88+H89+H90</f>
        <v>0</v>
      </c>
      <c r="I87" s="25"/>
    </row>
    <row r="88" spans="1:9" x14ac:dyDescent="0.25">
      <c r="A88" s="81"/>
      <c r="B88" s="6" t="s">
        <v>8</v>
      </c>
      <c r="C88" s="10">
        <v>0</v>
      </c>
      <c r="D88" s="10">
        <v>0</v>
      </c>
      <c r="E88" s="11">
        <v>0</v>
      </c>
      <c r="F88" s="64">
        <v>0</v>
      </c>
      <c r="G88" s="11">
        <v>0</v>
      </c>
      <c r="H88" s="16">
        <v>0</v>
      </c>
      <c r="I88" s="25"/>
    </row>
    <row r="89" spans="1:9" x14ac:dyDescent="0.25">
      <c r="A89" s="81"/>
      <c r="B89" s="6" t="s">
        <v>9</v>
      </c>
      <c r="C89" s="10">
        <v>0</v>
      </c>
      <c r="D89" s="10">
        <v>0</v>
      </c>
      <c r="E89" s="11">
        <v>0</v>
      </c>
      <c r="F89" s="64">
        <v>0</v>
      </c>
      <c r="G89" s="11">
        <v>0</v>
      </c>
      <c r="H89" s="16">
        <v>0</v>
      </c>
      <c r="I89" s="25"/>
    </row>
    <row r="90" spans="1:9" x14ac:dyDescent="0.25">
      <c r="A90" s="82"/>
      <c r="B90" s="2" t="s">
        <v>54</v>
      </c>
      <c r="C90" s="11">
        <v>0</v>
      </c>
      <c r="D90" s="10">
        <v>0</v>
      </c>
      <c r="E90" s="11">
        <v>0</v>
      </c>
      <c r="F90" s="64">
        <v>0</v>
      </c>
      <c r="G90" s="11">
        <v>0</v>
      </c>
      <c r="H90" s="16">
        <v>0</v>
      </c>
      <c r="I90" s="25"/>
    </row>
    <row r="91" spans="1:9" x14ac:dyDescent="0.25">
      <c r="A91" s="80"/>
      <c r="B91" s="14" t="s">
        <v>55</v>
      </c>
      <c r="C91" s="58">
        <f>SUM(C92:C95)</f>
        <v>145763.51999999999</v>
      </c>
      <c r="D91" s="28">
        <f>SUM(D92:D95)</f>
        <v>162936.01999999999</v>
      </c>
      <c r="E91" s="28">
        <f>SUM(E92:E95)</f>
        <v>137579.00000000003</v>
      </c>
      <c r="F91" s="65">
        <f>F92+F93+F94+F95</f>
        <v>143504.64000000001</v>
      </c>
      <c r="G91" s="58">
        <f>G92+G93+G94+G95</f>
        <v>195894.19</v>
      </c>
      <c r="H91" s="47">
        <f>SUM(H92:H95)</f>
        <v>0</v>
      </c>
      <c r="I91" s="25"/>
    </row>
    <row r="92" spans="1:9" x14ac:dyDescent="0.25">
      <c r="A92" s="81"/>
      <c r="B92" s="6" t="s">
        <v>8</v>
      </c>
      <c r="C92" s="10">
        <v>106531.04</v>
      </c>
      <c r="D92" s="10">
        <v>111296.2</v>
      </c>
      <c r="E92" s="15">
        <v>129051.71</v>
      </c>
      <c r="F92" s="64">
        <v>127893.27</v>
      </c>
      <c r="G92" s="11">
        <v>125159.29</v>
      </c>
      <c r="H92" s="16"/>
      <c r="I92" s="25"/>
    </row>
    <row r="93" spans="1:9" x14ac:dyDescent="0.25">
      <c r="A93" s="81"/>
      <c r="B93" s="6" t="s">
        <v>9</v>
      </c>
      <c r="C93" s="10">
        <f>4626.01+256.03+61.9</f>
        <v>4943.9399999999996</v>
      </c>
      <c r="D93" s="10">
        <f>9269+9140.32</f>
        <v>18409.32</v>
      </c>
      <c r="E93" s="15">
        <v>5755.5</v>
      </c>
      <c r="F93" s="64">
        <f>1540+2096.2</f>
        <v>3636.2</v>
      </c>
      <c r="G93" s="11">
        <f>15083.75+13306.15</f>
        <v>28389.9</v>
      </c>
      <c r="H93" s="16"/>
      <c r="I93" s="25"/>
    </row>
    <row r="94" spans="1:9" x14ac:dyDescent="0.25">
      <c r="A94" s="82"/>
      <c r="B94" s="2" t="s">
        <v>54</v>
      </c>
      <c r="C94" s="11">
        <v>34288.54</v>
      </c>
      <c r="D94" s="10">
        <v>317.5</v>
      </c>
      <c r="E94" s="15">
        <v>2771.79</v>
      </c>
      <c r="F94" s="64">
        <v>11975.17</v>
      </c>
      <c r="G94" s="11">
        <v>0</v>
      </c>
      <c r="H94" s="16"/>
      <c r="I94" s="25"/>
    </row>
    <row r="95" spans="1:9" x14ac:dyDescent="0.25">
      <c r="A95" s="62"/>
      <c r="B95" s="2" t="s">
        <v>27</v>
      </c>
      <c r="C95" s="11">
        <v>0</v>
      </c>
      <c r="D95" s="10">
        <v>32913</v>
      </c>
      <c r="E95" s="15">
        <v>0</v>
      </c>
      <c r="F95" s="64">
        <v>0</v>
      </c>
      <c r="G95" s="11">
        <v>42345</v>
      </c>
      <c r="H95" s="16"/>
      <c r="I95" s="25"/>
    </row>
    <row r="96" spans="1:9" x14ac:dyDescent="0.25">
      <c r="A96" s="80"/>
      <c r="B96" s="17" t="s">
        <v>39</v>
      </c>
      <c r="C96" s="28">
        <f t="shared" ref="C96:H96" si="10">C97+C98+C99</f>
        <v>842133.39999999991</v>
      </c>
      <c r="D96" s="9">
        <f t="shared" si="10"/>
        <v>90143.66</v>
      </c>
      <c r="E96" s="9">
        <f t="shared" si="10"/>
        <v>456</v>
      </c>
      <c r="F96" s="63">
        <f t="shared" si="10"/>
        <v>1976</v>
      </c>
      <c r="G96" s="13">
        <f t="shared" si="10"/>
        <v>0</v>
      </c>
      <c r="H96" s="45">
        <f t="shared" si="10"/>
        <v>0</v>
      </c>
      <c r="I96" s="25"/>
    </row>
    <row r="97" spans="1:9" x14ac:dyDescent="0.25">
      <c r="A97" s="81"/>
      <c r="B97" s="6" t="s">
        <v>8</v>
      </c>
      <c r="C97" s="10">
        <v>11295.2</v>
      </c>
      <c r="D97" s="10">
        <v>0</v>
      </c>
      <c r="E97" s="11">
        <v>0</v>
      </c>
      <c r="F97" s="64">
        <v>0</v>
      </c>
      <c r="G97" s="11"/>
      <c r="H97" s="16"/>
      <c r="I97" s="25"/>
    </row>
    <row r="98" spans="1:9" x14ac:dyDescent="0.25">
      <c r="A98" s="81"/>
      <c r="B98" s="6" t="s">
        <v>9</v>
      </c>
      <c r="C98" s="10">
        <f>821249.62+1104.34</f>
        <v>822353.96</v>
      </c>
      <c r="D98" s="10">
        <v>90143.66</v>
      </c>
      <c r="E98" s="11">
        <v>456</v>
      </c>
      <c r="F98" s="64">
        <v>1976</v>
      </c>
      <c r="G98" s="11"/>
      <c r="H98" s="16"/>
      <c r="I98" s="25"/>
    </row>
    <row r="99" spans="1:9" x14ac:dyDescent="0.25">
      <c r="A99" s="82"/>
      <c r="B99" s="2" t="s">
        <v>54</v>
      </c>
      <c r="C99" s="11">
        <v>8484.24</v>
      </c>
      <c r="D99" s="10">
        <v>0</v>
      </c>
      <c r="E99" s="11">
        <v>0</v>
      </c>
      <c r="F99" s="64">
        <v>0</v>
      </c>
      <c r="G99" s="11">
        <v>0</v>
      </c>
      <c r="H99" s="16">
        <v>0</v>
      </c>
      <c r="I99" s="25"/>
    </row>
    <row r="100" spans="1:9" x14ac:dyDescent="0.25">
      <c r="A100" s="80"/>
      <c r="B100" s="17" t="s">
        <v>38</v>
      </c>
      <c r="C100" s="28">
        <f>SUM(C101:C106)</f>
        <v>1256484.8399999999</v>
      </c>
      <c r="D100" s="9">
        <f t="shared" ref="D100:H100" si="11">SUM(D101:D105)</f>
        <v>1476258.13</v>
      </c>
      <c r="E100" s="13">
        <f>SUM(E101:E106)</f>
        <v>395332.82999999996</v>
      </c>
      <c r="F100" s="63">
        <f>SUM(F101:F106)</f>
        <v>2878768.4499999997</v>
      </c>
      <c r="G100" s="13">
        <f>SUM(G101:G106)</f>
        <v>1402793.93</v>
      </c>
      <c r="H100" s="45">
        <f t="shared" si="11"/>
        <v>0</v>
      </c>
      <c r="I100" s="25"/>
    </row>
    <row r="101" spans="1:9" x14ac:dyDescent="0.25">
      <c r="A101" s="81"/>
      <c r="B101" s="6" t="s">
        <v>8</v>
      </c>
      <c r="C101" s="10">
        <v>56785.43</v>
      </c>
      <c r="D101" s="10">
        <v>68975.649999999994</v>
      </c>
      <c r="E101" s="11">
        <v>70821.59</v>
      </c>
      <c r="F101" s="64">
        <v>81361.83</v>
      </c>
      <c r="G101" s="11">
        <v>60000.959999999999</v>
      </c>
      <c r="H101" s="16"/>
      <c r="I101" s="25"/>
    </row>
    <row r="102" spans="1:9" x14ac:dyDescent="0.25">
      <c r="A102" s="81"/>
      <c r="B102" s="6" t="s">
        <v>24</v>
      </c>
      <c r="C102" s="10">
        <v>1184672.48</v>
      </c>
      <c r="D102" s="22">
        <v>1344038.16</v>
      </c>
      <c r="E102" s="11">
        <v>310130.01</v>
      </c>
      <c r="F102" s="64">
        <v>2754196.76</v>
      </c>
      <c r="G102" s="11">
        <v>1329045.17</v>
      </c>
      <c r="H102" s="16"/>
      <c r="I102" s="25"/>
    </row>
    <row r="103" spans="1:9" x14ac:dyDescent="0.25">
      <c r="A103" s="81"/>
      <c r="B103" s="6" t="s">
        <v>9</v>
      </c>
      <c r="C103" s="10">
        <f>1041.93</f>
        <v>1041.93</v>
      </c>
      <c r="D103" s="16">
        <v>50650.32</v>
      </c>
      <c r="E103" s="16">
        <v>1787.23</v>
      </c>
      <c r="F103" s="66">
        <f>1403.6+8</f>
        <v>1411.6</v>
      </c>
      <c r="G103" s="16">
        <f>1104.95+48.85</f>
        <v>1153.8</v>
      </c>
      <c r="H103" s="16"/>
      <c r="I103" s="25"/>
    </row>
    <row r="104" spans="1:9" x14ac:dyDescent="0.25">
      <c r="A104" s="81"/>
      <c r="B104" s="6" t="s">
        <v>26</v>
      </c>
      <c r="C104" s="10">
        <v>12594</v>
      </c>
      <c r="D104" s="10">
        <v>12594</v>
      </c>
      <c r="E104" s="11">
        <v>12594</v>
      </c>
      <c r="F104" s="64">
        <v>12594</v>
      </c>
      <c r="G104" s="11">
        <v>12594</v>
      </c>
      <c r="H104" s="16"/>
      <c r="I104" s="25"/>
    </row>
    <row r="105" spans="1:9" x14ac:dyDescent="0.25">
      <c r="A105" s="82"/>
      <c r="B105" s="2" t="s">
        <v>54</v>
      </c>
      <c r="C105" s="11">
        <v>0</v>
      </c>
      <c r="D105" s="10">
        <v>0</v>
      </c>
      <c r="E105" s="11">
        <v>0</v>
      </c>
      <c r="F105" s="64">
        <v>29204.26</v>
      </c>
      <c r="G105" s="11">
        <v>0</v>
      </c>
      <c r="H105" s="16"/>
      <c r="I105" s="25"/>
    </row>
    <row r="106" spans="1:9" x14ac:dyDescent="0.25">
      <c r="A106" s="73"/>
      <c r="B106" s="2" t="s">
        <v>27</v>
      </c>
      <c r="C106" s="11">
        <v>1391</v>
      </c>
      <c r="D106" s="10">
        <v>0</v>
      </c>
      <c r="E106" s="11">
        <v>0</v>
      </c>
      <c r="F106" s="64">
        <v>0</v>
      </c>
      <c r="G106" s="11">
        <v>0</v>
      </c>
      <c r="H106" s="16"/>
      <c r="I106" s="25"/>
    </row>
    <row r="107" spans="1:9" x14ac:dyDescent="0.25">
      <c r="A107" s="80"/>
      <c r="B107" s="17" t="s">
        <v>13</v>
      </c>
      <c r="C107" s="28">
        <f>SUM(C108:C112)</f>
        <v>7543697.54</v>
      </c>
      <c r="D107" s="9">
        <f>SUM(D108:D111)</f>
        <v>6397811.3599999994</v>
      </c>
      <c r="E107" s="13">
        <f>SUM(E108:E112)</f>
        <v>22472519.389999997</v>
      </c>
      <c r="F107" s="63">
        <f>SUM(F108:F112)</f>
        <v>3651633.15</v>
      </c>
      <c r="G107" s="13">
        <f>SUM(G108:G112)</f>
        <v>10258236.460000001</v>
      </c>
      <c r="H107" s="45">
        <f>SUM(H108:H111)</f>
        <v>0</v>
      </c>
      <c r="I107" s="25"/>
    </row>
    <row r="108" spans="1:9" x14ac:dyDescent="0.25">
      <c r="A108" s="81"/>
      <c r="B108" s="6" t="s">
        <v>8</v>
      </c>
      <c r="C108" s="10">
        <v>217860.66</v>
      </c>
      <c r="D108" s="10">
        <v>211538.6</v>
      </c>
      <c r="E108" s="11">
        <v>216315.02</v>
      </c>
      <c r="F108" s="64">
        <v>243491.06</v>
      </c>
      <c r="G108" s="11">
        <v>209015.58</v>
      </c>
      <c r="H108" s="16"/>
      <c r="I108" s="25"/>
    </row>
    <row r="109" spans="1:9" ht="16.5" customHeight="1" x14ac:dyDescent="0.25">
      <c r="A109" s="81"/>
      <c r="B109" s="6" t="s">
        <v>25</v>
      </c>
      <c r="C109" s="10">
        <f>803459.33+3721590.35+1752071.21+907389.74+119871.98</f>
        <v>7304382.6100000003</v>
      </c>
      <c r="D109" s="22">
        <f>810186.15+2823926.66+2409890.87+97279.51+5922.36</f>
        <v>6147205.5499999998</v>
      </c>
      <c r="E109" s="11">
        <f>22232569.33+5922.36</f>
        <v>22238491.689999998</v>
      </c>
      <c r="F109" s="64">
        <f>633623.66+2704688.46+13818.84+5922.36</f>
        <v>3358053.32</v>
      </c>
      <c r="G109" s="21">
        <f>707567.74+2858938.18+6455076.88+5922.36</f>
        <v>10027505.16</v>
      </c>
      <c r="H109" s="16"/>
      <c r="I109" s="25"/>
    </row>
    <row r="110" spans="1:9" x14ac:dyDescent="0.25">
      <c r="A110" s="81"/>
      <c r="B110" s="6" t="s">
        <v>9</v>
      </c>
      <c r="C110" s="10">
        <f>18653.27+1410</f>
        <v>20063.27</v>
      </c>
      <c r="D110" s="10">
        <v>39067.21</v>
      </c>
      <c r="E110" s="16">
        <v>17712.68</v>
      </c>
      <c r="F110" s="66">
        <f>39178.92+10909.85</f>
        <v>50088.77</v>
      </c>
      <c r="G110" s="11">
        <f>420+21295.72</f>
        <v>21715.72</v>
      </c>
      <c r="H110" s="16"/>
      <c r="I110" s="25"/>
    </row>
    <row r="111" spans="1:9" x14ac:dyDescent="0.25">
      <c r="A111" s="82"/>
      <c r="B111" s="2" t="s">
        <v>54</v>
      </c>
      <c r="C111" s="11">
        <v>0</v>
      </c>
      <c r="D111" s="10">
        <v>0</v>
      </c>
      <c r="E111" s="16">
        <v>0</v>
      </c>
      <c r="F111" s="66">
        <v>0</v>
      </c>
      <c r="G111" s="16">
        <v>0</v>
      </c>
      <c r="H111" s="16"/>
      <c r="I111" s="25"/>
    </row>
    <row r="112" spans="1:9" x14ac:dyDescent="0.25">
      <c r="A112" s="73"/>
      <c r="B112" s="2" t="s">
        <v>27</v>
      </c>
      <c r="C112" s="11">
        <v>1391</v>
      </c>
      <c r="D112" s="10">
        <v>0</v>
      </c>
      <c r="E112" s="16">
        <v>0</v>
      </c>
      <c r="F112" s="66">
        <v>0</v>
      </c>
      <c r="G112" s="16">
        <v>0</v>
      </c>
      <c r="H112" s="16"/>
      <c r="I112" s="25"/>
    </row>
    <row r="113" spans="1:9" ht="15.75" customHeight="1" x14ac:dyDescent="0.25">
      <c r="A113" s="80"/>
      <c r="B113" s="17" t="s">
        <v>14</v>
      </c>
      <c r="C113" s="28">
        <f>SUM(C114:C117)</f>
        <v>1265814.26</v>
      </c>
      <c r="D113" s="9">
        <f t="shared" ref="D113:H113" si="12">SUM(D114:D117)</f>
        <v>1280147.45</v>
      </c>
      <c r="E113" s="9">
        <f>SUM(E114:E117)</f>
        <v>1254786.0899999999</v>
      </c>
      <c r="F113" s="67">
        <f>SUM(F114:F117)</f>
        <v>1542542.7000000002</v>
      </c>
      <c r="G113" s="9">
        <f>SUM(G114:G117)</f>
        <v>1561762.54</v>
      </c>
      <c r="H113" s="45">
        <f t="shared" si="12"/>
        <v>0</v>
      </c>
      <c r="I113" s="25"/>
    </row>
    <row r="114" spans="1:9" x14ac:dyDescent="0.25">
      <c r="A114" s="81"/>
      <c r="B114" s="6" t="s">
        <v>8</v>
      </c>
      <c r="C114" s="10">
        <v>1108093.57</v>
      </c>
      <c r="D114" s="10">
        <v>1124683.1399999999</v>
      </c>
      <c r="E114" s="10">
        <v>1109256.79</v>
      </c>
      <c r="F114" s="68">
        <v>1185369.07</v>
      </c>
      <c r="G114" s="10">
        <v>1087301.99</v>
      </c>
      <c r="H114" s="16"/>
      <c r="I114" s="25"/>
    </row>
    <row r="115" spans="1:9" x14ac:dyDescent="0.25">
      <c r="A115" s="81"/>
      <c r="B115" s="18" t="s">
        <v>9</v>
      </c>
      <c r="C115" s="78">
        <v>147762.69</v>
      </c>
      <c r="D115" s="44">
        <f>152288.09</f>
        <v>152288.09</v>
      </c>
      <c r="E115" s="44">
        <f>116911.28+259.86</f>
        <v>117171.14</v>
      </c>
      <c r="F115" s="69">
        <f>291894.58</f>
        <v>291894.58</v>
      </c>
      <c r="G115" s="44">
        <v>221986.43</v>
      </c>
      <c r="H115" s="44"/>
      <c r="I115" s="25"/>
    </row>
    <row r="116" spans="1:9" x14ac:dyDescent="0.25">
      <c r="A116" s="81"/>
      <c r="B116" s="6" t="s">
        <v>27</v>
      </c>
      <c r="C116" s="10">
        <v>9958</v>
      </c>
      <c r="D116" s="16">
        <v>2773.96</v>
      </c>
      <c r="E116" s="16">
        <v>0</v>
      </c>
      <c r="F116" s="66">
        <v>44775.6</v>
      </c>
      <c r="G116" s="16">
        <v>231121.1</v>
      </c>
      <c r="H116" s="16"/>
      <c r="I116" s="25"/>
    </row>
    <row r="117" spans="1:9" x14ac:dyDescent="0.25">
      <c r="A117" s="82"/>
      <c r="B117" s="2" t="s">
        <v>54</v>
      </c>
      <c r="C117" s="11">
        <v>0</v>
      </c>
      <c r="D117" s="16">
        <v>402.26</v>
      </c>
      <c r="E117" s="16">
        <v>28358.16</v>
      </c>
      <c r="F117" s="66">
        <f>20410+93.45</f>
        <v>20503.45</v>
      </c>
      <c r="G117" s="16">
        <f>21259.57+93.45</f>
        <v>21353.02</v>
      </c>
      <c r="H117" s="16"/>
      <c r="I117" s="25"/>
    </row>
    <row r="118" spans="1:9" ht="18" customHeight="1" x14ac:dyDescent="0.25">
      <c r="A118" s="80"/>
      <c r="B118" s="17" t="s">
        <v>32</v>
      </c>
      <c r="C118" s="28">
        <f>SUM(C119:C121)</f>
        <v>65798.849999999991</v>
      </c>
      <c r="D118" s="28">
        <f>SUM(D119:D121)</f>
        <v>55976.950000000004</v>
      </c>
      <c r="E118" s="28">
        <f t="shared" ref="E118" si="13">SUM(E119:E120)</f>
        <v>47325.66</v>
      </c>
      <c r="F118" s="70">
        <f>SUM(F119:F121)</f>
        <v>57080.59</v>
      </c>
      <c r="G118" s="28">
        <f>SUM(G119:G122)</f>
        <v>114587.73999999999</v>
      </c>
      <c r="H118" s="47">
        <f>SUM(H119:H120)</f>
        <v>0</v>
      </c>
      <c r="I118" s="25"/>
    </row>
    <row r="119" spans="1:9" x14ac:dyDescent="0.25">
      <c r="A119" s="81"/>
      <c r="B119" s="6" t="s">
        <v>8</v>
      </c>
      <c r="C119" s="10">
        <v>42357.09</v>
      </c>
      <c r="D119" s="10">
        <v>41568.020000000004</v>
      </c>
      <c r="E119" s="16">
        <v>44502.68</v>
      </c>
      <c r="F119" s="68">
        <v>45121.7</v>
      </c>
      <c r="G119" s="16">
        <v>42672.46</v>
      </c>
      <c r="H119" s="16"/>
      <c r="I119" s="25"/>
    </row>
    <row r="120" spans="1:9" x14ac:dyDescent="0.25">
      <c r="A120" s="81"/>
      <c r="B120" s="6" t="s">
        <v>9</v>
      </c>
      <c r="C120" s="10">
        <v>23441.759999999998</v>
      </c>
      <c r="D120" s="10">
        <v>14408.929999999998</v>
      </c>
      <c r="E120" s="16">
        <v>2822.98</v>
      </c>
      <c r="F120" s="68">
        <v>11958.89</v>
      </c>
      <c r="G120" s="16">
        <v>28163.279999999999</v>
      </c>
      <c r="H120" s="16"/>
      <c r="I120" s="25"/>
    </row>
    <row r="121" spans="1:9" x14ac:dyDescent="0.25">
      <c r="A121" s="81"/>
      <c r="B121" s="2" t="s">
        <v>54</v>
      </c>
      <c r="C121" s="11">
        <v>0</v>
      </c>
      <c r="D121" s="10">
        <v>0</v>
      </c>
      <c r="E121" s="10">
        <v>0</v>
      </c>
      <c r="F121" s="68"/>
      <c r="G121" s="16">
        <v>0</v>
      </c>
      <c r="H121" s="16"/>
      <c r="I121" s="25"/>
    </row>
    <row r="122" spans="1:9" x14ac:dyDescent="0.25">
      <c r="A122" s="82"/>
      <c r="B122" s="2" t="s">
        <v>27</v>
      </c>
      <c r="C122" s="11"/>
      <c r="D122" s="10"/>
      <c r="E122" s="10"/>
      <c r="F122" s="68"/>
      <c r="G122" s="16">
        <v>43752</v>
      </c>
      <c r="H122" s="16"/>
      <c r="I122" s="25"/>
    </row>
    <row r="123" spans="1:9" x14ac:dyDescent="0.25">
      <c r="A123" s="80"/>
      <c r="B123" s="17" t="s">
        <v>44</v>
      </c>
      <c r="C123" s="28">
        <f>SUM(C124)</f>
        <v>0</v>
      </c>
      <c r="D123" s="28">
        <f>SUM(D124)</f>
        <v>0</v>
      </c>
      <c r="E123" s="28">
        <f>SUM(E124)</f>
        <v>0</v>
      </c>
      <c r="F123" s="70">
        <f>SUM(F124)</f>
        <v>50214</v>
      </c>
      <c r="G123" s="29">
        <f>SUM(G124)</f>
        <v>97250</v>
      </c>
      <c r="H123" s="48">
        <f>H124</f>
        <v>0</v>
      </c>
      <c r="I123" s="25"/>
    </row>
    <row r="124" spans="1:9" ht="13.5" customHeight="1" x14ac:dyDescent="0.25">
      <c r="A124" s="82"/>
      <c r="B124" s="6" t="s">
        <v>9</v>
      </c>
      <c r="C124" s="10">
        <v>0</v>
      </c>
      <c r="D124" s="16">
        <v>0</v>
      </c>
      <c r="E124" s="10">
        <v>0</v>
      </c>
      <c r="F124" s="66">
        <v>50214</v>
      </c>
      <c r="G124" s="22">
        <v>97250</v>
      </c>
      <c r="H124" s="16"/>
      <c r="I124" s="25"/>
    </row>
    <row r="125" spans="1:9" ht="15.75" customHeight="1" x14ac:dyDescent="0.25">
      <c r="A125" s="80"/>
      <c r="B125" s="17" t="s">
        <v>47</v>
      </c>
      <c r="C125" s="28">
        <f>SUM(C126)</f>
        <v>2400</v>
      </c>
      <c r="D125" s="47">
        <f>SUM(D126)</f>
        <v>0</v>
      </c>
      <c r="E125" s="28">
        <f t="shared" ref="E125:F125" si="14">SUM(E126)</f>
        <v>89200.2</v>
      </c>
      <c r="F125" s="70">
        <f t="shared" si="14"/>
        <v>226240</v>
      </c>
      <c r="G125" s="28">
        <f t="shared" ref="G125:H125" si="15">SUM(G126)</f>
        <v>165295</v>
      </c>
      <c r="H125" s="47">
        <f t="shared" si="15"/>
        <v>0</v>
      </c>
      <c r="I125" s="25"/>
    </row>
    <row r="126" spans="1:9" x14ac:dyDescent="0.25">
      <c r="A126" s="82"/>
      <c r="B126" s="6" t="s">
        <v>9</v>
      </c>
      <c r="C126" s="10">
        <v>2400</v>
      </c>
      <c r="D126" s="16">
        <v>0</v>
      </c>
      <c r="E126" s="10">
        <f>43560.2+4400+28240+13000</f>
        <v>89200.2</v>
      </c>
      <c r="F126" s="66">
        <v>226240</v>
      </c>
      <c r="G126" s="10">
        <f>82000+82000+1295</f>
        <v>165295</v>
      </c>
      <c r="H126" s="16"/>
      <c r="I126" s="25"/>
    </row>
    <row r="127" spans="1:9" ht="15.75" thickBot="1" x14ac:dyDescent="0.3">
      <c r="A127" s="40"/>
      <c r="B127" s="41" t="s">
        <v>28</v>
      </c>
      <c r="C127" s="41"/>
      <c r="D127" s="42">
        <v>1500000</v>
      </c>
      <c r="E127" s="43">
        <v>0</v>
      </c>
      <c r="F127" s="71">
        <v>0</v>
      </c>
      <c r="G127" s="43">
        <v>0</v>
      </c>
      <c r="H127" s="43">
        <v>0</v>
      </c>
      <c r="I127" s="25"/>
    </row>
    <row r="128" spans="1:9" ht="15.75" thickTop="1" x14ac:dyDescent="0.25">
      <c r="D128" s="21"/>
      <c r="E128" s="21"/>
      <c r="F128" s="21"/>
      <c r="G128" s="20"/>
      <c r="H128" s="23"/>
    </row>
    <row r="129" spans="5:8" x14ac:dyDescent="0.25">
      <c r="E129" s="21"/>
      <c r="F129" s="21"/>
      <c r="G129" s="20"/>
      <c r="H129" s="23"/>
    </row>
    <row r="130" spans="5:8" x14ac:dyDescent="0.25">
      <c r="E130" s="21"/>
      <c r="F130" s="21"/>
      <c r="G130" s="23"/>
    </row>
    <row r="131" spans="5:8" x14ac:dyDescent="0.25">
      <c r="F131" s="20"/>
    </row>
    <row r="132" spans="5:8" x14ac:dyDescent="0.25">
      <c r="F132" s="20"/>
      <c r="G132" s="21"/>
    </row>
    <row r="133" spans="5:8" x14ac:dyDescent="0.25">
      <c r="H133" s="23"/>
    </row>
    <row r="135" spans="5:8" x14ac:dyDescent="0.25">
      <c r="G135" s="21"/>
    </row>
    <row r="136" spans="5:8" x14ac:dyDescent="0.25">
      <c r="G136" s="21"/>
    </row>
  </sheetData>
  <sheetProtection formatCells="0" formatColumns="0" formatRows="0" insertColumns="0" insertRows="0" insertHyperlinks="0" deleteColumns="0" deleteRows="0" sort="0" autoFilter="0" pivotTables="0"/>
  <mergeCells count="27">
    <mergeCell ref="G71:G72"/>
    <mergeCell ref="H71:H72"/>
    <mergeCell ref="A71:A76"/>
    <mergeCell ref="C71:C72"/>
    <mergeCell ref="D71:D72"/>
    <mergeCell ref="E71:E72"/>
    <mergeCell ref="F71:F72"/>
    <mergeCell ref="A3:A18"/>
    <mergeCell ref="A27:A38"/>
    <mergeCell ref="A41:A45"/>
    <mergeCell ref="A46:A50"/>
    <mergeCell ref="A51:A55"/>
    <mergeCell ref="A56:A60"/>
    <mergeCell ref="A61:A65"/>
    <mergeCell ref="A82:A86"/>
    <mergeCell ref="A66:A70"/>
    <mergeCell ref="A77:A81"/>
    <mergeCell ref="A87:A90"/>
    <mergeCell ref="A96:A99"/>
    <mergeCell ref="A100:A105"/>
    <mergeCell ref="B71:B72"/>
    <mergeCell ref="A107:A111"/>
    <mergeCell ref="A113:A117"/>
    <mergeCell ref="A91:A94"/>
    <mergeCell ref="A123:A124"/>
    <mergeCell ref="A125:A126"/>
    <mergeCell ref="A118:A122"/>
  </mergeCells>
  <phoneticPr fontId="10" type="noConversion"/>
  <pageMargins left="0.32500000000000001" right="0.15625" top="1.1578124999999999" bottom="0.66666666666666663" header="0.31496062000000002" footer="0.31496062000000002"/>
  <pageSetup paperSize="9" scale="70" orientation="landscape" r:id="rId1"/>
  <headerFooter>
    <oddHeader xml:space="preserve">&amp;C&amp;G&amp;R&amp;"Arial,Normal"&amp;10
Contrato de Gestão 001/2011 - SEAD / OVG
Execução Orçamentária Mensal
Regime de Apuração 2021
</oddHeader>
    <oddFooter>&amp;C&amp;P de &amp;N</oddFooter>
  </headerFooter>
  <rowBreaks count="1" manualBreakCount="1">
    <brk id="3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2020</vt:lpstr>
      <vt:lpstr>Planilha1</vt:lpstr>
      <vt:lpstr>'2020'!Area_de_impressao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Renata Ferreira dos Santos</cp:lastModifiedBy>
  <cp:lastPrinted>2020-05-07T16:37:52Z</cp:lastPrinted>
  <dcterms:created xsi:type="dcterms:W3CDTF">2019-01-07T12:23:29Z</dcterms:created>
  <dcterms:modified xsi:type="dcterms:W3CDTF">2021-06-17T20:39:44Z</dcterms:modified>
</cp:coreProperties>
</file>