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20\"/>
    </mc:Choice>
  </mc:AlternateContent>
  <xr:revisionPtr revIDLastSave="0" documentId="13_ncr:1_{B904A56B-D699-4E61-860B-AB771D9AC2FD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5" i="1"/>
  <c r="H33" i="1"/>
  <c r="H31" i="1"/>
  <c r="H104" i="1"/>
  <c r="H92" i="1"/>
  <c r="H68" i="1"/>
  <c r="H63" i="1"/>
  <c r="H62" i="1"/>
  <c r="H58" i="1"/>
  <c r="H53" i="1"/>
  <c r="H48" i="1"/>
  <c r="H38" i="1"/>
  <c r="G12" i="1" l="1"/>
  <c r="G21" i="1"/>
  <c r="G33" i="1"/>
  <c r="G31" i="1"/>
  <c r="G104" i="1"/>
  <c r="G73" i="1"/>
  <c r="G82" i="1"/>
  <c r="G68" i="1"/>
  <c r="G63" i="1"/>
  <c r="G58" i="1"/>
  <c r="G57" i="1"/>
  <c r="G53" i="1"/>
  <c r="G48" i="1"/>
  <c r="G43" i="1"/>
  <c r="G38" i="1"/>
  <c r="F21" i="1" l="1"/>
  <c r="F33" i="1"/>
  <c r="F31" i="1"/>
  <c r="F104" i="1"/>
  <c r="F92" i="1"/>
  <c r="F73" i="1"/>
  <c r="F82" i="1"/>
  <c r="F68" i="1"/>
  <c r="F63" i="1"/>
  <c r="F58" i="1"/>
  <c r="F53" i="1"/>
  <c r="F48" i="1"/>
  <c r="F43" i="1"/>
  <c r="F38" i="1"/>
  <c r="F36" i="1"/>
  <c r="E12" i="1" l="1"/>
  <c r="E21" i="1"/>
  <c r="E33" i="1"/>
  <c r="E31" i="1"/>
  <c r="E30" i="1"/>
  <c r="E104" i="1"/>
  <c r="E99" i="1"/>
  <c r="E94" i="1"/>
  <c r="E92" i="1"/>
  <c r="E73" i="1"/>
  <c r="E82" i="1"/>
  <c r="E68" i="1"/>
  <c r="E63" i="1"/>
  <c r="E62" i="1"/>
  <c r="E58" i="1"/>
  <c r="E53" i="1"/>
  <c r="E48" i="1"/>
  <c r="E43" i="1"/>
  <c r="E38" i="1"/>
  <c r="D12" i="1" l="1"/>
  <c r="D21" i="1"/>
  <c r="D33" i="1"/>
  <c r="D31" i="1"/>
  <c r="D92" i="1"/>
  <c r="D73" i="1"/>
  <c r="D68" i="1"/>
  <c r="D63" i="1"/>
  <c r="D58" i="1"/>
  <c r="D53" i="1"/>
  <c r="D48" i="1"/>
  <c r="D43" i="1"/>
  <c r="D38" i="1"/>
  <c r="C12" i="1"/>
  <c r="C21" i="1"/>
  <c r="C33" i="1"/>
  <c r="C31" i="1"/>
  <c r="C30" i="1"/>
  <c r="C99" i="1" l="1"/>
  <c r="C92" i="1"/>
  <c r="G102" i="1"/>
  <c r="D51" i="1"/>
  <c r="H66" i="1"/>
  <c r="H41" i="1"/>
  <c r="F66" i="1" l="1"/>
  <c r="G66" i="1"/>
  <c r="E66" i="1"/>
  <c r="D66" i="1"/>
  <c r="C66" i="1"/>
  <c r="C102" i="1" l="1"/>
  <c r="C76" i="1"/>
  <c r="C61" i="1"/>
  <c r="C51" i="1"/>
  <c r="C46" i="1"/>
  <c r="C41" i="1"/>
  <c r="C36" i="1"/>
  <c r="F102" i="1"/>
  <c r="H102" i="1"/>
  <c r="F96" i="1"/>
  <c r="G96" i="1"/>
  <c r="H96" i="1"/>
  <c r="F89" i="1"/>
  <c r="G89" i="1"/>
  <c r="H89" i="1"/>
  <c r="F85" i="1"/>
  <c r="G85" i="1"/>
  <c r="H85" i="1"/>
  <c r="F80" i="1"/>
  <c r="G80" i="1"/>
  <c r="H80" i="1"/>
  <c r="F76" i="1"/>
  <c r="G76" i="1"/>
  <c r="H76" i="1"/>
  <c r="F71" i="1"/>
  <c r="G71" i="1"/>
  <c r="H71" i="1"/>
  <c r="F61" i="1"/>
  <c r="G61" i="1"/>
  <c r="H61" i="1"/>
  <c r="F56" i="1"/>
  <c r="G56" i="1"/>
  <c r="H56" i="1"/>
  <c r="F51" i="1"/>
  <c r="G51" i="1"/>
  <c r="H51" i="1"/>
  <c r="F46" i="1"/>
  <c r="G46" i="1"/>
  <c r="H46" i="1"/>
  <c r="F41" i="1"/>
  <c r="G41" i="1"/>
  <c r="G36" i="1"/>
  <c r="H36" i="1"/>
  <c r="E89" i="1"/>
  <c r="E85" i="1"/>
  <c r="E80" i="1"/>
  <c r="E76" i="1"/>
  <c r="H35" i="1" l="1"/>
  <c r="G35" i="1"/>
  <c r="F35" i="1"/>
  <c r="D76" i="1" l="1"/>
  <c r="D85" i="1"/>
  <c r="D89" i="1"/>
  <c r="E102" i="1" l="1"/>
  <c r="D102" i="1"/>
  <c r="E96" i="1"/>
  <c r="D96" i="1"/>
  <c r="C96" i="1"/>
  <c r="C89" i="1"/>
  <c r="C85" i="1"/>
  <c r="D80" i="1"/>
  <c r="C80" i="1"/>
  <c r="E71" i="1"/>
  <c r="D71" i="1"/>
  <c r="C71" i="1"/>
  <c r="E61" i="1"/>
  <c r="D61" i="1"/>
  <c r="E56" i="1"/>
  <c r="D56" i="1"/>
  <c r="C56" i="1"/>
  <c r="E51" i="1"/>
  <c r="E46" i="1"/>
  <c r="D46" i="1"/>
  <c r="E41" i="1"/>
  <c r="D41" i="1"/>
  <c r="E36" i="1"/>
  <c r="D36" i="1"/>
  <c r="E35" i="1" l="1"/>
  <c r="D35" i="1"/>
  <c r="C35" i="1"/>
</calcChain>
</file>

<file path=xl/sharedStrings.xml><?xml version="1.0" encoding="utf-8"?>
<sst xmlns="http://schemas.openxmlformats.org/spreadsheetml/2006/main" count="212" uniqueCount="136">
  <si>
    <t>Previsão de Receita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</si>
  <si>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</si>
  <si>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</si>
  <si>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</si>
  <si>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</si>
  <si>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</si>
  <si>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</si>
  <si>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Provisão de Rescisão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</si>
  <si>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</si>
  <si>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</si>
  <si>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</si>
  <si>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</si>
  <si>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</si>
  <si>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CENTRO DE IDOSOS SAGRADA FAMÍLIA - CISF</t>
  </si>
  <si>
    <t>Pessoal e Encargos</t>
  </si>
  <si>
    <t>Despesas Correntes</t>
  </si>
  <si>
    <t>Investimento</t>
  </si>
  <si>
    <t xml:space="preserve">CENTRO DE IDOSOS VILA VIDA - CIVV </t>
  </si>
  <si>
    <t>ESPAÇO BEM VIVER l - CM</t>
  </si>
  <si>
    <t>ESPAÇO BEM VIVER ll - NF</t>
  </si>
  <si>
    <t>CENTRO DE ADOLESCENTES TECENDO O FUTURO - CATF</t>
  </si>
  <si>
    <t>CENTRO SOCIAL DONA GERCINA BORGES - CSDGB</t>
  </si>
  <si>
    <t>GERÊNCIA DE VOLUNTARIADO E PARCERIAS SOCIAIS - GVPS</t>
  </si>
  <si>
    <t>CASA DO INTERIOR DE GOIÁS - CIGO</t>
  </si>
  <si>
    <t>CENTRO DE APOIO AOS ROMEIROS</t>
  </si>
  <si>
    <t>GERÊNCIA DE GESTÃO SOCIAL E AVALIAÇÃO</t>
  </si>
  <si>
    <t>NATAL DO BEM</t>
  </si>
  <si>
    <t>RESTAURANTE DO BEM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</si>
  <si>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</si>
  <si>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</si>
  <si>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</si>
  <si>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</si>
  <si>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</si>
  <si>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</si>
  <si>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</si>
  <si>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3.3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</si>
  <si>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</si>
  <si>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</si>
  <si>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</si>
  <si>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</si>
  <si>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</si>
  <si>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</si>
  <si>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</si>
  <si>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</si>
  <si>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</si>
  <si>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</si>
  <si>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</si>
  <si>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</si>
  <si>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</si>
  <si>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</si>
  <si>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</si>
  <si>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4.4</t>
  </si>
  <si>
    <t xml:space="preserve">Rendimento de Aplicação -
 Provisão de Rescisões </t>
  </si>
  <si>
    <t>5.9.2</t>
  </si>
  <si>
    <t>5.11.1</t>
  </si>
  <si>
    <t>5 -</t>
  </si>
  <si>
    <t>5.1</t>
  </si>
  <si>
    <t>5.1.1</t>
  </si>
  <si>
    <t>5.1.2</t>
  </si>
  <si>
    <t>5.1.3</t>
  </si>
  <si>
    <t>5.1.4</t>
  </si>
  <si>
    <t>5.2</t>
  </si>
  <si>
    <t>5.2.1</t>
  </si>
  <si>
    <t>5.2.2</t>
  </si>
  <si>
    <t>5.2.3</t>
  </si>
  <si>
    <t>5.2.4</t>
  </si>
  <si>
    <t>5.3</t>
  </si>
  <si>
    <t>5.3.1</t>
  </si>
  <si>
    <t>5.3.2</t>
  </si>
  <si>
    <t>5.3.3</t>
  </si>
  <si>
    <t>5.3.4</t>
  </si>
  <si>
    <t>5.4</t>
  </si>
  <si>
    <t>5.4.1</t>
  </si>
  <si>
    <t>5.4.2</t>
  </si>
  <si>
    <t>5.4.3</t>
  </si>
  <si>
    <t>5.4.4</t>
  </si>
  <si>
    <t>5.5</t>
  </si>
  <si>
    <t>5.5.1</t>
  </si>
  <si>
    <t>5.5.2</t>
  </si>
  <si>
    <t>5.5.3</t>
  </si>
  <si>
    <t>5.5.4</t>
  </si>
  <si>
    <t>5.6</t>
  </si>
  <si>
    <t>5.6.1</t>
  </si>
  <si>
    <t>5.6.2</t>
  </si>
  <si>
    <t>5.6.3</t>
  </si>
  <si>
    <t>5.6.4</t>
  </si>
  <si>
    <t>5.7</t>
  </si>
  <si>
    <t>5.7.1</t>
  </si>
  <si>
    <t>5.7.2</t>
  </si>
  <si>
    <t>5.7.3</t>
  </si>
  <si>
    <t>5.7.4</t>
  </si>
  <si>
    <t>5.8</t>
  </si>
  <si>
    <t>5.8.1</t>
  </si>
  <si>
    <t>5.8.2</t>
  </si>
  <si>
    <t>5.8.3</t>
  </si>
  <si>
    <t>5.8.4</t>
  </si>
  <si>
    <t>5.9</t>
  </si>
  <si>
    <t>5.9.1</t>
  </si>
  <si>
    <t>5.9.3</t>
  </si>
  <si>
    <t>5.10</t>
  </si>
  <si>
    <t>5.10.1</t>
  </si>
  <si>
    <t>5.10.2</t>
  </si>
  <si>
    <t>5.10.3</t>
  </si>
  <si>
    <t>5.10.4</t>
  </si>
  <si>
    <t>5.11</t>
  </si>
  <si>
    <t>5.11.2</t>
  </si>
  <si>
    <t>5.11.3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</si>
  <si>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</si>
  <si>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</si>
  <si>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</si>
  <si>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</si>
  <si>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</si>
  <si>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</si>
  <si>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</si>
  <si>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</si>
  <si>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5.13.4</t>
  </si>
  <si>
    <t>5.13.5</t>
  </si>
  <si>
    <t>5.14</t>
  </si>
  <si>
    <t>5.14.1</t>
  </si>
  <si>
    <t>5.14.2</t>
  </si>
  <si>
    <t>5.14.3</t>
  </si>
  <si>
    <t>5.14.4</t>
  </si>
  <si>
    <t>Rescisões</t>
  </si>
  <si>
    <t>2.4</t>
  </si>
  <si>
    <t>2.5</t>
  </si>
  <si>
    <t>2.6</t>
  </si>
  <si>
    <t>Julho</t>
  </si>
  <si>
    <t>Agosto</t>
  </si>
  <si>
    <t>Setembro</t>
  </si>
  <si>
    <t>Outubro</t>
  </si>
  <si>
    <t>Novembro</t>
  </si>
  <si>
    <t>Dezembro</t>
  </si>
  <si>
    <t>5.12.4</t>
  </si>
  <si>
    <t>5.12.5</t>
  </si>
  <si>
    <t>5.12.6</t>
  </si>
  <si>
    <t>Recuperação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</si>
</sst>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44" fontId="0" fillId="0" borderId="3" xfId="1" applyFont="1" applyFill="1" applyBorder="1"/>
    <xf numFmtId="44" fontId="1" fillId="3" borderId="1" xfId="1" applyFont="1" applyFill="1" applyBorder="1"/>
    <xf numFmtId="44" fontId="0" fillId="0" borderId="0" xfId="1" applyFont="1"/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/>
    <xf numFmtId="44" fontId="0" fillId="0" borderId="0" xfId="0" applyNumberFormat="1"/>
    <xf numFmtId="0" fontId="5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106"/>
  <sheetViews>
    <sheetView tabSelected="1" view="pageLayout" topLeftCell="A109" zoomScaleNormal="100" workbookViewId="0">
      <selection activeCell="A34" sqref="A34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33">
        <v>2020</v>
      </c>
      <c r="B1" s="33"/>
      <c r="C1" s="33"/>
      <c r="D1" s="33"/>
      <c r="E1" s="33"/>
      <c r="F1" s="33"/>
      <c r="G1" s="33"/>
      <c r="H1" s="33"/>
    </row>
    <row r="2" spans="1:8" ht="24.75" customHeight="1" x14ac:dyDescent="0.25">
      <c r="A2" s="23" t="s">
        <v>33</v>
      </c>
      <c r="B2" s="22" t="s">
        <v>0</v>
      </c>
      <c r="C2" s="22" t="s">
        <v>126</v>
      </c>
      <c r="D2" s="22" t="s">
        <v>127</v>
      </c>
      <c r="E2" s="22" t="s">
        <v>128</v>
      </c>
      <c r="F2" s="22" t="s">
        <v>129</v>
      </c>
      <c r="G2" s="22" t="s">
        <v>130</v>
      </c>
      <c r="H2" s="22" t="s">
        <v>131</v>
      </c>
    </row>
    <row r="3" spans="1:8" x14ac:dyDescent="0.25">
      <c r="A3" s="1" t="s">
        <v>34</v>
      </c>
      <c r="B3" s="1" t="s">
        <v>1</v>
      </c>
      <c r="C3" s="3">
        <v>579526.35</v>
      </c>
      <c r="D3" s="3">
        <v>3586709.31</v>
      </c>
      <c r="E3" s="3">
        <v>4248716.32</v>
      </c>
      <c r="F3" s="3">
        <v>3427063.49</v>
      </c>
      <c r="G3" s="3">
        <v>1543251.67</v>
      </c>
      <c r="H3" s="3">
        <v>553772.93000000005</v>
      </c>
    </row>
    <row r="4" spans="1:8" x14ac:dyDescent="0.25">
      <c r="A4" s="1" t="s">
        <v>36</v>
      </c>
      <c r="B4" s="1" t="s">
        <v>2</v>
      </c>
      <c r="C4" s="3">
        <v>6961666.8499999996</v>
      </c>
      <c r="D4" s="3">
        <v>6857388</v>
      </c>
      <c r="E4" s="3">
        <v>6740462.9800000004</v>
      </c>
      <c r="F4" s="3">
        <v>6825416.1399999997</v>
      </c>
      <c r="G4" s="3">
        <v>6719520.54</v>
      </c>
      <c r="H4" s="3">
        <v>6802376.04</v>
      </c>
    </row>
    <row r="5" spans="1:8" x14ac:dyDescent="0.25">
      <c r="A5" s="1" t="s">
        <v>37</v>
      </c>
      <c r="B5" s="1" t="s">
        <v>3</v>
      </c>
      <c r="C5" s="3">
        <v>3065068.02</v>
      </c>
      <c r="D5" s="3">
        <v>3075066.47</v>
      </c>
      <c r="E5" s="3">
        <v>3065066.47</v>
      </c>
      <c r="F5" s="3">
        <v>3065066.47</v>
      </c>
      <c r="G5" s="3">
        <v>3065066.47</v>
      </c>
      <c r="H5" s="3">
        <v>3226926.25</v>
      </c>
    </row>
    <row r="6" spans="1:8" x14ac:dyDescent="0.25">
      <c r="A6" s="1" t="s">
        <v>38</v>
      </c>
      <c r="B6" s="1" t="s">
        <v>4</v>
      </c>
      <c r="C6" s="3">
        <v>347317</v>
      </c>
      <c r="D6" s="3">
        <v>306730</v>
      </c>
      <c r="E6" s="3">
        <v>6730</v>
      </c>
      <c r="F6" s="3">
        <v>6730</v>
      </c>
      <c r="G6" s="3">
        <v>6730</v>
      </c>
      <c r="H6" s="3">
        <v>6730</v>
      </c>
    </row>
    <row r="7" spans="1:8" x14ac:dyDescent="0.25">
      <c r="A7" s="1" t="s">
        <v>39</v>
      </c>
      <c r="B7" s="1" t="s">
        <v>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10" spans="1:8" ht="22.5" customHeight="1" x14ac:dyDescent="0.25">
      <c r="A10" s="23" t="s">
        <v>40</v>
      </c>
      <c r="B10" s="22" t="s">
        <v>8</v>
      </c>
      <c r="C10" s="22" t="s">
        <v>126</v>
      </c>
      <c r="D10" s="22" t="s">
        <v>127</v>
      </c>
      <c r="E10" s="22" t="s">
        <v>128</v>
      </c>
      <c r="F10" s="22" t="s">
        <v>129</v>
      </c>
      <c r="G10" s="22" t="s">
        <v>130</v>
      </c>
      <c r="H10" s="22" t="s">
        <v>131</v>
      </c>
    </row>
    <row r="11" spans="1:8" x14ac:dyDescent="0.25">
      <c r="A11" s="1" t="s">
        <v>41</v>
      </c>
      <c r="B11" s="1" t="s">
        <v>1</v>
      </c>
      <c r="C11" s="3">
        <v>1352584.78</v>
      </c>
      <c r="D11" s="3">
        <v>450944.65</v>
      </c>
      <c r="E11" s="28">
        <v>3011950</v>
      </c>
      <c r="F11" s="25">
        <v>3731240</v>
      </c>
      <c r="G11" s="3">
        <v>3081250</v>
      </c>
      <c r="H11" s="3">
        <f>4075169.86-13460</f>
        <v>4061709.86</v>
      </c>
    </row>
    <row r="12" spans="1:8" x14ac:dyDescent="0.25">
      <c r="A12" s="1" t="s">
        <v>42</v>
      </c>
      <c r="B12" s="1" t="s">
        <v>2</v>
      </c>
      <c r="C12" s="3">
        <f>1348223.09+6511042.2</f>
        <v>7859265.29</v>
      </c>
      <c r="D12" s="3">
        <f>1591132.38+5853148.22+1519189.76</f>
        <v>8963470.3599999994</v>
      </c>
      <c r="E12" s="25">
        <f>1546165.7+5849158.21+1220652.03</f>
        <v>8615975.9399999995</v>
      </c>
      <c r="F12" s="28">
        <v>7854667.7400000002</v>
      </c>
      <c r="G12" s="3">
        <f>5839158.21+734560.74+1576672.26</f>
        <v>8150391.21</v>
      </c>
      <c r="H12" s="27">
        <f>2964917.12+9584686.83+2648981.96</f>
        <v>15198585.91</v>
      </c>
    </row>
    <row r="13" spans="1:8" x14ac:dyDescent="0.25">
      <c r="A13" s="1" t="s">
        <v>43</v>
      </c>
      <c r="B13" s="1" t="s">
        <v>3</v>
      </c>
      <c r="C13" s="3">
        <v>2356231.62</v>
      </c>
      <c r="D13" s="3">
        <v>2576071.75</v>
      </c>
      <c r="E13" s="3">
        <v>2346557.27</v>
      </c>
      <c r="F13" s="3">
        <v>2250327.4900000002</v>
      </c>
      <c r="G13" s="3">
        <v>2324728.46</v>
      </c>
      <c r="H13" s="27">
        <v>2594988.38</v>
      </c>
    </row>
    <row r="14" spans="1:8" x14ac:dyDescent="0.25">
      <c r="A14" s="1" t="s">
        <v>123</v>
      </c>
      <c r="B14" s="31" t="s">
        <v>7</v>
      </c>
      <c r="C14" s="3"/>
      <c r="D14" s="3">
        <v>77272.45</v>
      </c>
      <c r="E14" s="3">
        <v>70396.72</v>
      </c>
      <c r="F14" s="3">
        <v>67511.59</v>
      </c>
      <c r="G14" s="3">
        <v>69741.850000000006</v>
      </c>
      <c r="H14" s="27">
        <v>148527.19</v>
      </c>
    </row>
    <row r="15" spans="1:8" x14ac:dyDescent="0.25">
      <c r="A15" s="1" t="s">
        <v>124</v>
      </c>
      <c r="B15" s="1" t="s">
        <v>4</v>
      </c>
      <c r="C15" s="3">
        <v>0</v>
      </c>
      <c r="D15" s="3">
        <v>347317</v>
      </c>
      <c r="E15" s="3">
        <v>306730</v>
      </c>
      <c r="F15" s="3">
        <v>6730</v>
      </c>
      <c r="G15" s="3">
        <v>6730</v>
      </c>
      <c r="H15" s="27">
        <f>6730+6730</f>
        <v>13460</v>
      </c>
    </row>
    <row r="16" spans="1:8" x14ac:dyDescent="0.25">
      <c r="A16" s="1" t="s">
        <v>125</v>
      </c>
      <c r="B16" s="1" t="s">
        <v>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27">
        <v>0</v>
      </c>
    </row>
    <row r="19" spans="1:8" ht="30" x14ac:dyDescent="0.25">
      <c r="A19" s="2" t="s">
        <v>44</v>
      </c>
      <c r="B19" s="24" t="s">
        <v>6</v>
      </c>
      <c r="C19" s="22" t="s">
        <v>126</v>
      </c>
      <c r="D19" s="22" t="s">
        <v>127</v>
      </c>
      <c r="E19" s="22" t="s">
        <v>128</v>
      </c>
      <c r="F19" s="22" t="s">
        <v>129</v>
      </c>
      <c r="G19" s="22" t="s">
        <v>130</v>
      </c>
      <c r="H19" s="22" t="s">
        <v>131</v>
      </c>
    </row>
    <row r="20" spans="1:8" x14ac:dyDescent="0.25">
      <c r="A20" s="1" t="s">
        <v>45</v>
      </c>
      <c r="B20" s="1" t="s">
        <v>1</v>
      </c>
      <c r="C20" s="3">
        <v>24593322.210000001</v>
      </c>
      <c r="D20" s="3">
        <v>24450597.809999999</v>
      </c>
      <c r="E20" s="3">
        <v>21588447.91</v>
      </c>
      <c r="F20" s="3">
        <v>24476062.460000001</v>
      </c>
      <c r="G20" s="3">
        <v>25127799.600000001</v>
      </c>
      <c r="H20" s="3">
        <v>23706735.309999999</v>
      </c>
    </row>
    <row r="21" spans="1:8" x14ac:dyDescent="0.25">
      <c r="A21" s="1" t="s">
        <v>46</v>
      </c>
      <c r="B21" s="1" t="s">
        <v>2</v>
      </c>
      <c r="C21" s="3">
        <f>1757355.13+8183076.69</f>
        <v>9940431.8200000003</v>
      </c>
      <c r="D21" s="3">
        <f>1789693.41+8372539.23</f>
        <v>10162232.640000001</v>
      </c>
      <c r="E21" s="3">
        <f>2070241.81+8489165.55+1388391.75</f>
        <v>11947799.110000001</v>
      </c>
      <c r="F21" s="3">
        <f>2085637.41+7814920.64+1703411.31</f>
        <v>11603969.359999999</v>
      </c>
      <c r="G21" s="26">
        <f>2287860+8213901.05+1457906.17</f>
        <v>11959667.220000001</v>
      </c>
      <c r="H21" s="3">
        <v>10522463.960000001</v>
      </c>
    </row>
    <row r="22" spans="1:8" x14ac:dyDescent="0.25">
      <c r="A22" s="1" t="s">
        <v>35</v>
      </c>
      <c r="B22" s="31" t="s">
        <v>7</v>
      </c>
      <c r="C22" s="3">
        <v>0</v>
      </c>
      <c r="D22" s="3">
        <v>0</v>
      </c>
      <c r="E22" s="3">
        <v>2011691.47</v>
      </c>
      <c r="F22" s="3">
        <v>1662982.98</v>
      </c>
      <c r="G22" s="3">
        <v>1511666.97</v>
      </c>
      <c r="H22" s="3">
        <v>1537164.01</v>
      </c>
    </row>
    <row r="29" spans="1:8" x14ac:dyDescent="0.25">
      <c r="A29" s="2" t="s">
        <v>47</v>
      </c>
      <c r="B29" s="2" t="s">
        <v>9</v>
      </c>
      <c r="C29" s="2" t="s">
        <v>126</v>
      </c>
      <c r="D29" s="2" t="s">
        <v>127</v>
      </c>
      <c r="E29" s="2" t="s">
        <v>128</v>
      </c>
      <c r="F29" s="2" t="s">
        <v>129</v>
      </c>
      <c r="G29" s="2" t="s">
        <v>130</v>
      </c>
      <c r="H29" s="2" t="s">
        <v>131</v>
      </c>
    </row>
    <row r="30" spans="1:8" ht="28.5" customHeight="1" x14ac:dyDescent="0.25">
      <c r="A30" s="1" t="s">
        <v>48</v>
      </c>
      <c r="B30" s="4" t="s">
        <v>10</v>
      </c>
      <c r="C30" s="3">
        <f>45678.06</f>
        <v>45678.06</v>
      </c>
      <c r="D30" s="3">
        <v>36492.97</v>
      </c>
      <c r="E30" s="3">
        <f>34542.97</f>
        <v>34542.97</v>
      </c>
      <c r="F30" s="25">
        <v>37294.58</v>
      </c>
      <c r="G30" s="25">
        <v>34956.720000000001</v>
      </c>
      <c r="H30" s="3">
        <v>37266.39</v>
      </c>
    </row>
    <row r="31" spans="1:8" ht="28.5" customHeight="1" x14ac:dyDescent="0.25">
      <c r="A31" s="1" t="s">
        <v>49</v>
      </c>
      <c r="B31" s="4" t="s">
        <v>11</v>
      </c>
      <c r="C31" s="3">
        <f>3365.09+15271.97</f>
        <v>18637.059999999998</v>
      </c>
      <c r="D31" s="3">
        <f>3384.16+13253.19</f>
        <v>16637.349999999999</v>
      </c>
      <c r="E31" s="3">
        <f>3767.66+12985.11+889.05</f>
        <v>17641.82</v>
      </c>
      <c r="F31" s="25">
        <f>3495.75+11375.64+1988.3</f>
        <v>16859.689999999999</v>
      </c>
      <c r="G31" s="25">
        <f>3873.46+10036.11+1432.58</f>
        <v>15342.15</v>
      </c>
      <c r="H31" s="3">
        <f>6334.77+15931.91+1830.63</f>
        <v>24097.31</v>
      </c>
    </row>
    <row r="32" spans="1:8" ht="28.5" customHeight="1" x14ac:dyDescent="0.25">
      <c r="A32" s="1" t="s">
        <v>50</v>
      </c>
      <c r="B32" s="29" t="s">
        <v>52</v>
      </c>
      <c r="C32" s="3">
        <v>0</v>
      </c>
      <c r="D32" s="3">
        <v>11.14</v>
      </c>
      <c r="E32" s="3">
        <v>1642.97</v>
      </c>
      <c r="F32" s="25">
        <v>1814.59</v>
      </c>
      <c r="G32" s="25">
        <v>1577.47</v>
      </c>
      <c r="H32" s="3">
        <v>1895.69</v>
      </c>
    </row>
    <row r="33" spans="1:8" ht="28.5" customHeight="1" x14ac:dyDescent="0.25">
      <c r="A33" s="1" t="s">
        <v>51</v>
      </c>
      <c r="B33" s="5" t="s">
        <v>135</v>
      </c>
      <c r="C33" s="3">
        <f>24782.35+1000</f>
        <v>25782.35</v>
      </c>
      <c r="D33" s="3">
        <f>39173.14+135.85+480.7</f>
        <v>39789.689999999995</v>
      </c>
      <c r="E33" s="3">
        <f>38918.28+1.05+1200+4102.06</f>
        <v>44221.39</v>
      </c>
      <c r="F33" s="25">
        <f>25648+1000+8.39</f>
        <v>26656.39</v>
      </c>
      <c r="G33" s="25">
        <f>39458.55+359.27</f>
        <v>39817.82</v>
      </c>
      <c r="H33" s="3">
        <f>49457.14+133.89+800+1500+69.74</f>
        <v>51960.77</v>
      </c>
    </row>
    <row r="35" spans="1:8" ht="26.25" x14ac:dyDescent="0.25">
      <c r="A35" s="6" t="s">
        <v>55</v>
      </c>
      <c r="B35" s="7" t="s">
        <v>12</v>
      </c>
      <c r="C35" s="8">
        <f t="shared" ref="C35:H35" si="0">SUBTOTAL(9,C36:C106)</f>
        <v>11667358.529999997</v>
      </c>
      <c r="D35" s="8">
        <f t="shared" si="0"/>
        <v>11574583.340000002</v>
      </c>
      <c r="E35" s="8">
        <f t="shared" si="0"/>
        <v>12256008.430000002</v>
      </c>
      <c r="F35" s="8">
        <f t="shared" si="0"/>
        <v>13557507.08</v>
      </c>
      <c r="G35" s="8">
        <f t="shared" si="0"/>
        <v>16557306.189999999</v>
      </c>
      <c r="H35" s="8">
        <f t="shared" si="0"/>
        <v>14855205.060000001</v>
      </c>
    </row>
    <row r="36" spans="1:8" ht="26.25" x14ac:dyDescent="0.25">
      <c r="A36" s="21" t="s">
        <v>56</v>
      </c>
      <c r="B36" s="9" t="s">
        <v>13</v>
      </c>
      <c r="C36" s="10">
        <f>SUBTOTAL(9,C37:C40)</f>
        <v>526971.59000000008</v>
      </c>
      <c r="D36" s="10">
        <f>SUBTOTAL(9,D37:D40)</f>
        <v>615447.28999999992</v>
      </c>
      <c r="E36" s="10">
        <f>SUBTOTAL(9,E37:E40)</f>
        <v>823108.14</v>
      </c>
      <c r="F36" s="10">
        <f>SUBTOTAL(9,F37:F40)</f>
        <v>725250.05</v>
      </c>
      <c r="G36" s="10">
        <f t="shared" ref="G36:H36" si="1">SUBTOTAL(9,G37:G40)</f>
        <v>539231.96</v>
      </c>
      <c r="H36" s="10">
        <f t="shared" si="1"/>
        <v>670807.59</v>
      </c>
    </row>
    <row r="37" spans="1:8" x14ac:dyDescent="0.25">
      <c r="A37" s="21" t="s">
        <v>57</v>
      </c>
      <c r="B37" s="11" t="s">
        <v>14</v>
      </c>
      <c r="C37" s="12">
        <v>316313.27</v>
      </c>
      <c r="D37" s="12">
        <v>333565.86</v>
      </c>
      <c r="E37" s="12">
        <v>358384.85</v>
      </c>
      <c r="F37" s="12">
        <v>311441.09999999998</v>
      </c>
      <c r="G37" s="12">
        <v>387175.2</v>
      </c>
      <c r="H37" s="13">
        <v>327466.83</v>
      </c>
    </row>
    <row r="38" spans="1:8" x14ac:dyDescent="0.25">
      <c r="A38" s="21" t="s">
        <v>58</v>
      </c>
      <c r="B38" s="11" t="s">
        <v>15</v>
      </c>
      <c r="C38" s="12">
        <v>210658.32</v>
      </c>
      <c r="D38" s="12">
        <f>155778.75+82165.31</f>
        <v>237944.06</v>
      </c>
      <c r="E38" s="12">
        <f>100164.99+218703.03</f>
        <v>318868.02</v>
      </c>
      <c r="F38" s="12">
        <f>19848.85+350209.79</f>
        <v>370058.63999999996</v>
      </c>
      <c r="G38" s="12">
        <f>19621.23+129435.53</f>
        <v>149056.76</v>
      </c>
      <c r="H38" s="13">
        <f>38218.1+301622.66</f>
        <v>339840.75999999995</v>
      </c>
    </row>
    <row r="39" spans="1:8" x14ac:dyDescent="0.25">
      <c r="A39" s="21" t="s">
        <v>59</v>
      </c>
      <c r="B39" s="11" t="s">
        <v>122</v>
      </c>
      <c r="C39" s="12">
        <v>0</v>
      </c>
      <c r="D39" s="12">
        <v>43937.37</v>
      </c>
      <c r="E39" s="12">
        <v>145855.26999999999</v>
      </c>
      <c r="F39" s="12">
        <v>43750.31</v>
      </c>
      <c r="G39" s="12">
        <v>0</v>
      </c>
      <c r="H39" s="13">
        <v>0</v>
      </c>
    </row>
    <row r="40" spans="1:8" x14ac:dyDescent="0.25">
      <c r="A40" s="21" t="s">
        <v>60</v>
      </c>
      <c r="B40" s="11" t="s">
        <v>16</v>
      </c>
      <c r="C40" s="12">
        <v>0</v>
      </c>
      <c r="D40" s="12">
        <v>0</v>
      </c>
      <c r="E40" s="12">
        <v>0</v>
      </c>
      <c r="F40" s="12">
        <v>0</v>
      </c>
      <c r="G40" s="12">
        <v>3000</v>
      </c>
      <c r="H40" s="13">
        <v>3500</v>
      </c>
    </row>
    <row r="41" spans="1:8" ht="26.25" x14ac:dyDescent="0.25">
      <c r="A41" s="21" t="s">
        <v>61</v>
      </c>
      <c r="B41" s="9" t="s">
        <v>17</v>
      </c>
      <c r="C41" s="10">
        <f>SUBTOTAL(9,C42:C45)</f>
        <v>232718.75</v>
      </c>
      <c r="D41" s="10">
        <f>SUBTOTAL(9,D42:D45)</f>
        <v>212528.38</v>
      </c>
      <c r="E41" s="10">
        <f>SUBTOTAL(9,E42:E45)</f>
        <v>202624.21</v>
      </c>
      <c r="F41" s="10">
        <f t="shared" ref="F41:G41" si="2">SUBTOTAL(9,F42:F45)</f>
        <v>260732.01</v>
      </c>
      <c r="G41" s="10">
        <f t="shared" si="2"/>
        <v>156875.85999999999</v>
      </c>
      <c r="H41" s="10">
        <f>SUBTOTAL(9,H42:H45)</f>
        <v>413507.37</v>
      </c>
    </row>
    <row r="42" spans="1:8" x14ac:dyDescent="0.25">
      <c r="A42" s="21" t="s">
        <v>62</v>
      </c>
      <c r="B42" s="11" t="s">
        <v>14</v>
      </c>
      <c r="C42" s="12">
        <v>104911.23</v>
      </c>
      <c r="D42" s="12">
        <v>112099.34</v>
      </c>
      <c r="E42" s="12">
        <v>103493.55</v>
      </c>
      <c r="F42" s="12">
        <v>88728.36</v>
      </c>
      <c r="G42" s="12">
        <v>123298.56</v>
      </c>
      <c r="H42" s="13">
        <v>101479.92</v>
      </c>
    </row>
    <row r="43" spans="1:8" x14ac:dyDescent="0.25">
      <c r="A43" s="21" t="s">
        <v>63</v>
      </c>
      <c r="B43" s="11" t="s">
        <v>15</v>
      </c>
      <c r="C43" s="14">
        <v>48501.77</v>
      </c>
      <c r="D43" s="12">
        <f>34484.86+7201.98</f>
        <v>41686.839999999997</v>
      </c>
      <c r="E43" s="14">
        <f>24209.99+21342.89</f>
        <v>45552.880000000005</v>
      </c>
      <c r="F43" s="14">
        <f>178.22+46967.29</f>
        <v>47145.51</v>
      </c>
      <c r="G43" s="14">
        <f>8800+24777.3</f>
        <v>33577.300000000003</v>
      </c>
      <c r="H43" s="13">
        <v>58695.06</v>
      </c>
    </row>
    <row r="44" spans="1:8" x14ac:dyDescent="0.25">
      <c r="A44" s="21" t="s">
        <v>64</v>
      </c>
      <c r="B44" s="11" t="s">
        <v>122</v>
      </c>
      <c r="C44" s="14">
        <v>79305.75</v>
      </c>
      <c r="D44" s="12">
        <v>58742.2</v>
      </c>
      <c r="E44" s="14">
        <v>53577.78</v>
      </c>
      <c r="F44" s="14">
        <v>45552.39</v>
      </c>
      <c r="G44" s="14">
        <v>0</v>
      </c>
      <c r="H44" s="13">
        <v>0</v>
      </c>
    </row>
    <row r="45" spans="1:8" x14ac:dyDescent="0.25">
      <c r="A45" s="21" t="s">
        <v>65</v>
      </c>
      <c r="B45" s="11" t="s">
        <v>16</v>
      </c>
      <c r="C45" s="14">
        <v>0</v>
      </c>
      <c r="D45" s="12">
        <v>0</v>
      </c>
      <c r="E45" s="14">
        <v>0</v>
      </c>
      <c r="F45" s="14">
        <v>79305.75</v>
      </c>
      <c r="G45" s="14">
        <v>0</v>
      </c>
      <c r="H45" s="13">
        <v>253332.39</v>
      </c>
    </row>
    <row r="46" spans="1:8" ht="26.25" x14ac:dyDescent="0.25">
      <c r="A46" s="21" t="s">
        <v>66</v>
      </c>
      <c r="B46" s="9" t="s">
        <v>18</v>
      </c>
      <c r="C46" s="10">
        <f>SUBTOTAL(9,C47:C50)</f>
        <v>83197.63</v>
      </c>
      <c r="D46" s="10">
        <f>SUBTOTAL(9,D47:D50)</f>
        <v>189528.64</v>
      </c>
      <c r="E46" s="10">
        <f>SUBTOTAL(9,E47:E50)</f>
        <v>67029.25</v>
      </c>
      <c r="F46" s="10">
        <f t="shared" ref="F46:H46" si="3">SUBTOTAL(9,F47:F50)</f>
        <v>113333.79999999999</v>
      </c>
      <c r="G46" s="10">
        <f t="shared" si="3"/>
        <v>91634.93</v>
      </c>
      <c r="H46" s="10">
        <f t="shared" si="3"/>
        <v>85153.799999999988</v>
      </c>
    </row>
    <row r="47" spans="1:8" x14ac:dyDescent="0.25">
      <c r="A47" s="21" t="s">
        <v>67</v>
      </c>
      <c r="B47" s="11" t="s">
        <v>14</v>
      </c>
      <c r="C47" s="14">
        <v>49726.080000000002</v>
      </c>
      <c r="D47" s="12">
        <v>48164.19</v>
      </c>
      <c r="E47" s="14">
        <v>34052.959999999999</v>
      </c>
      <c r="F47" s="14">
        <v>39415.040000000001</v>
      </c>
      <c r="G47" s="14">
        <v>62374.32</v>
      </c>
      <c r="H47" s="13">
        <v>48100.27</v>
      </c>
    </row>
    <row r="48" spans="1:8" x14ac:dyDescent="0.25">
      <c r="A48" s="21" t="s">
        <v>68</v>
      </c>
      <c r="B48" s="11" t="s">
        <v>15</v>
      </c>
      <c r="C48" s="14">
        <v>33471.550000000003</v>
      </c>
      <c r="D48" s="12">
        <f>16068.59+2091.07</f>
        <v>18159.66</v>
      </c>
      <c r="E48" s="13">
        <f>16115.25+16861.04</f>
        <v>32976.29</v>
      </c>
      <c r="F48" s="14">
        <f>37654.84+36263.92</f>
        <v>73918.759999999995</v>
      </c>
      <c r="G48" s="14">
        <f>325.45+16935.16</f>
        <v>17260.61</v>
      </c>
      <c r="H48" s="13">
        <f>410.95+36642.58</f>
        <v>37053.53</v>
      </c>
    </row>
    <row r="49" spans="1:8" x14ac:dyDescent="0.25">
      <c r="A49" s="21" t="s">
        <v>69</v>
      </c>
      <c r="B49" s="11" t="s">
        <v>122</v>
      </c>
      <c r="C49" s="14">
        <v>0</v>
      </c>
      <c r="D49" s="12">
        <v>123204.79</v>
      </c>
      <c r="E49" s="14">
        <v>0</v>
      </c>
      <c r="F49" s="14">
        <v>0</v>
      </c>
      <c r="G49" s="14">
        <v>12000</v>
      </c>
      <c r="H49" s="13">
        <v>0</v>
      </c>
    </row>
    <row r="50" spans="1:8" x14ac:dyDescent="0.25">
      <c r="A50" s="21" t="s">
        <v>70</v>
      </c>
      <c r="B50" s="11" t="s">
        <v>16</v>
      </c>
      <c r="C50" s="14">
        <v>0</v>
      </c>
      <c r="D50" s="12">
        <v>0</v>
      </c>
      <c r="E50" s="14">
        <v>0</v>
      </c>
      <c r="F50" s="14">
        <v>0</v>
      </c>
      <c r="G50" s="14">
        <v>0</v>
      </c>
      <c r="H50" s="13">
        <v>0</v>
      </c>
    </row>
    <row r="51" spans="1:8" ht="26.25" x14ac:dyDescent="0.25">
      <c r="A51" s="21" t="s">
        <v>71</v>
      </c>
      <c r="B51" s="4" t="s">
        <v>19</v>
      </c>
      <c r="C51" s="10">
        <f>SUBTOTAL(9,C52:C55)</f>
        <v>77056.53</v>
      </c>
      <c r="D51" s="10">
        <f>SUBTOTAL(9,D52:D55)</f>
        <v>93539.510000000009</v>
      </c>
      <c r="E51" s="10">
        <f>SUBTOTAL(9,E52:E55)</f>
        <v>71682.2</v>
      </c>
      <c r="F51" s="10">
        <f t="shared" ref="F51:H51" si="4">SUBTOTAL(9,F52:F55)</f>
        <v>111479.41999999998</v>
      </c>
      <c r="G51" s="10">
        <f t="shared" si="4"/>
        <v>56559.509999999995</v>
      </c>
      <c r="H51" s="10">
        <f t="shared" si="4"/>
        <v>68907.600000000006</v>
      </c>
    </row>
    <row r="52" spans="1:8" x14ac:dyDescent="0.25">
      <c r="A52" s="21" t="s">
        <v>72</v>
      </c>
      <c r="B52" s="11" t="s">
        <v>14</v>
      </c>
      <c r="C52" s="14">
        <v>46279.5</v>
      </c>
      <c r="D52" s="12">
        <v>38991</v>
      </c>
      <c r="E52" s="14">
        <v>37755.71</v>
      </c>
      <c r="F52" s="14">
        <v>35475.65</v>
      </c>
      <c r="G52" s="14">
        <v>37398.129999999997</v>
      </c>
      <c r="H52" s="13">
        <v>29832.29</v>
      </c>
    </row>
    <row r="53" spans="1:8" x14ac:dyDescent="0.25">
      <c r="A53" s="21" t="s">
        <v>73</v>
      </c>
      <c r="B53" s="11" t="s">
        <v>15</v>
      </c>
      <c r="C53" s="14">
        <v>30777.03</v>
      </c>
      <c r="D53" s="12">
        <f>16208.37+2725.01</f>
        <v>18933.38</v>
      </c>
      <c r="E53" s="14">
        <f>16134.97+17791.52</f>
        <v>33926.49</v>
      </c>
      <c r="F53" s="14">
        <f>38584.34+37419.43</f>
        <v>76003.76999999999</v>
      </c>
      <c r="G53" s="14">
        <f>1036.45+18124.93</f>
        <v>19161.38</v>
      </c>
      <c r="H53" s="13">
        <f>1359.45+37715.86</f>
        <v>39075.31</v>
      </c>
    </row>
    <row r="54" spans="1:8" x14ac:dyDescent="0.25">
      <c r="A54" s="21" t="s">
        <v>74</v>
      </c>
      <c r="B54" s="11" t="s">
        <v>122</v>
      </c>
      <c r="C54" s="14">
        <v>0</v>
      </c>
      <c r="D54" s="12">
        <v>35615.129999999997</v>
      </c>
      <c r="E54" s="14">
        <v>0</v>
      </c>
      <c r="F54" s="14">
        <v>0</v>
      </c>
      <c r="G54" s="14">
        <v>0</v>
      </c>
      <c r="H54" s="13">
        <v>0</v>
      </c>
    </row>
    <row r="55" spans="1:8" x14ac:dyDescent="0.25">
      <c r="A55" s="21" t="s">
        <v>75</v>
      </c>
      <c r="B55" s="11" t="s">
        <v>16</v>
      </c>
      <c r="C55" s="14">
        <v>0</v>
      </c>
      <c r="D55" s="12">
        <v>0</v>
      </c>
      <c r="E55" s="14">
        <v>0</v>
      </c>
      <c r="F55" s="14">
        <v>0</v>
      </c>
      <c r="G55" s="14">
        <v>0</v>
      </c>
      <c r="H55" s="13">
        <v>0</v>
      </c>
    </row>
    <row r="56" spans="1:8" ht="39" x14ac:dyDescent="0.25">
      <c r="A56" s="21" t="s">
        <v>76</v>
      </c>
      <c r="B56" s="4" t="s">
        <v>20</v>
      </c>
      <c r="C56" s="10">
        <f>SUBTOTAL(9,C57:C60)</f>
        <v>91700.36</v>
      </c>
      <c r="D56" s="10">
        <f>SUBTOTAL(9,D57:D60)</f>
        <v>193261.27000000002</v>
      </c>
      <c r="E56" s="10">
        <f>SUBTOTAL(9,E57:E60)</f>
        <v>124546.41999999998</v>
      </c>
      <c r="F56" s="10">
        <f t="shared" ref="F56:H56" si="5">SUBTOTAL(9,F57:F60)</f>
        <v>60148.36</v>
      </c>
      <c r="G56" s="10">
        <f t="shared" si="5"/>
        <v>40719.17</v>
      </c>
      <c r="H56" s="10">
        <f t="shared" si="5"/>
        <v>59570.79</v>
      </c>
    </row>
    <row r="57" spans="1:8" x14ac:dyDescent="0.25">
      <c r="A57" s="21" t="s">
        <v>77</v>
      </c>
      <c r="B57" s="11" t="s">
        <v>14</v>
      </c>
      <c r="C57" s="14">
        <v>46836.79</v>
      </c>
      <c r="D57" s="12">
        <v>48108.81</v>
      </c>
      <c r="E57" s="14">
        <v>31050.98</v>
      </c>
      <c r="F57" s="14">
        <v>21591.51</v>
      </c>
      <c r="G57" s="14">
        <f>21550.84</f>
        <v>21550.84</v>
      </c>
      <c r="H57" s="13">
        <v>21461.57</v>
      </c>
    </row>
    <row r="58" spans="1:8" x14ac:dyDescent="0.25">
      <c r="A58" s="21" t="s">
        <v>78</v>
      </c>
      <c r="B58" s="11" t="s">
        <v>15</v>
      </c>
      <c r="C58" s="14">
        <v>44863.57</v>
      </c>
      <c r="D58" s="12">
        <f>15278.4+2540.39</f>
        <v>17818.79</v>
      </c>
      <c r="E58" s="14">
        <f>11739.22+17425.34</f>
        <v>29164.559999999998</v>
      </c>
      <c r="F58" s="14">
        <f>1690.95+36865.9</f>
        <v>38556.85</v>
      </c>
      <c r="G58" s="14">
        <f>1383.15+17785.18</f>
        <v>19168.330000000002</v>
      </c>
      <c r="H58" s="13">
        <f>542.01+37567.21</f>
        <v>38109.22</v>
      </c>
    </row>
    <row r="59" spans="1:8" x14ac:dyDescent="0.25">
      <c r="A59" s="21" t="s">
        <v>79</v>
      </c>
      <c r="B59" s="11" t="s">
        <v>122</v>
      </c>
      <c r="C59" s="14">
        <v>0</v>
      </c>
      <c r="D59" s="12">
        <v>127333.67</v>
      </c>
      <c r="E59" s="14">
        <v>64330.879999999997</v>
      </c>
      <c r="F59" s="14">
        <v>0</v>
      </c>
      <c r="G59" s="14">
        <v>0</v>
      </c>
      <c r="H59" s="13">
        <v>0</v>
      </c>
    </row>
    <row r="60" spans="1:8" x14ac:dyDescent="0.25">
      <c r="A60" s="21" t="s">
        <v>80</v>
      </c>
      <c r="B60" s="11" t="s">
        <v>16</v>
      </c>
      <c r="C60" s="12">
        <v>0</v>
      </c>
      <c r="D60" s="15">
        <v>0</v>
      </c>
      <c r="E60" s="16">
        <v>0</v>
      </c>
      <c r="F60" s="16">
        <v>0</v>
      </c>
      <c r="G60" s="14">
        <v>0</v>
      </c>
      <c r="H60" s="17">
        <v>0</v>
      </c>
    </row>
    <row r="61" spans="1:8" ht="39" x14ac:dyDescent="0.25">
      <c r="A61" s="21" t="s">
        <v>81</v>
      </c>
      <c r="B61" s="9" t="s">
        <v>21</v>
      </c>
      <c r="C61" s="10">
        <f>SUBTOTAL(9,C62:C65)</f>
        <v>60968.15</v>
      </c>
      <c r="D61" s="10">
        <f>SUBTOTAL(9,D62:D65)</f>
        <v>135588.77000000002</v>
      </c>
      <c r="E61" s="10">
        <f>SUBTOTAL(9,E62:E65)</f>
        <v>47581.760000000002</v>
      </c>
      <c r="F61" s="10">
        <f t="shared" ref="F61:H61" si="6">SUBTOTAL(9,F62:F65)</f>
        <v>51535.79</v>
      </c>
      <c r="G61" s="10">
        <f t="shared" si="6"/>
        <v>60001.54</v>
      </c>
      <c r="H61" s="10">
        <f t="shared" si="6"/>
        <v>54700.18</v>
      </c>
    </row>
    <row r="62" spans="1:8" x14ac:dyDescent="0.25">
      <c r="A62" s="21" t="s">
        <v>82</v>
      </c>
      <c r="B62" s="11" t="s">
        <v>14</v>
      </c>
      <c r="C62" s="14">
        <v>49433.23</v>
      </c>
      <c r="D62" s="12">
        <v>50716.21</v>
      </c>
      <c r="E62" s="14">
        <f>38933.61</f>
        <v>38933.61</v>
      </c>
      <c r="F62" s="14">
        <v>37974.870000000003</v>
      </c>
      <c r="G62" s="14">
        <v>55816.4</v>
      </c>
      <c r="H62" s="13">
        <f>41957.8</f>
        <v>41957.8</v>
      </c>
    </row>
    <row r="63" spans="1:8" x14ac:dyDescent="0.25">
      <c r="A63" s="21" t="s">
        <v>83</v>
      </c>
      <c r="B63" s="11" t="s">
        <v>15</v>
      </c>
      <c r="C63" s="14">
        <v>11534.92</v>
      </c>
      <c r="D63" s="12">
        <f>16558.36+852.48</f>
        <v>17410.84</v>
      </c>
      <c r="E63" s="14">
        <f>5984.44+2663.71</f>
        <v>8648.15</v>
      </c>
      <c r="F63" s="14">
        <f>1269.65+12291.27</f>
        <v>13560.92</v>
      </c>
      <c r="G63" s="14">
        <f>114.25+4070.89</f>
        <v>4185.1399999999994</v>
      </c>
      <c r="H63" s="13">
        <f>131.05+12611.33</f>
        <v>12742.38</v>
      </c>
    </row>
    <row r="64" spans="1:8" x14ac:dyDescent="0.25">
      <c r="A64" s="21" t="s">
        <v>84</v>
      </c>
      <c r="B64" s="11" t="s">
        <v>122</v>
      </c>
      <c r="C64" s="14">
        <v>0</v>
      </c>
      <c r="D64" s="12">
        <v>67461.72</v>
      </c>
      <c r="E64" s="14">
        <v>0</v>
      </c>
      <c r="F64" s="14">
        <v>0</v>
      </c>
      <c r="G64" s="14">
        <v>0</v>
      </c>
      <c r="H64" s="13">
        <v>0</v>
      </c>
    </row>
    <row r="65" spans="1:8" x14ac:dyDescent="0.25">
      <c r="A65" s="21" t="s">
        <v>85</v>
      </c>
      <c r="B65" s="11" t="s">
        <v>16</v>
      </c>
      <c r="C65" s="14">
        <v>0</v>
      </c>
      <c r="D65" s="12">
        <v>0</v>
      </c>
      <c r="E65" s="14">
        <v>0</v>
      </c>
      <c r="F65" s="14">
        <v>0</v>
      </c>
      <c r="G65" s="14">
        <v>0</v>
      </c>
      <c r="H65" s="13">
        <v>0</v>
      </c>
    </row>
    <row r="66" spans="1:8" ht="55.5" customHeight="1" x14ac:dyDescent="0.25">
      <c r="A66" s="21" t="s">
        <v>86</v>
      </c>
      <c r="B66" s="4" t="s">
        <v>22</v>
      </c>
      <c r="C66" s="10">
        <f>SUBTOTAL(9,C67:C70)</f>
        <v>661267.54</v>
      </c>
      <c r="D66" s="10">
        <f>SUBTOTAL(9,D67:D70)</f>
        <v>734974.84000000008</v>
      </c>
      <c r="E66" s="10">
        <f>SUBTOTAL(9,E67:E70)</f>
        <v>839382.2699999999</v>
      </c>
      <c r="F66" s="10">
        <f>SUBTOTAL(9,F67:F70)</f>
        <v>1067400.06</v>
      </c>
      <c r="G66" s="10">
        <f t="shared" ref="G66:H66" si="7">SUBTOTAL(9,G67:G70)</f>
        <v>784892.90999999992</v>
      </c>
      <c r="H66" s="10">
        <f t="shared" si="7"/>
        <v>1114838.46</v>
      </c>
    </row>
    <row r="67" spans="1:8" x14ac:dyDescent="0.25">
      <c r="A67" s="21" t="s">
        <v>87</v>
      </c>
      <c r="B67" s="11" t="s">
        <v>14</v>
      </c>
      <c r="C67" s="14">
        <v>221999.87</v>
      </c>
      <c r="D67" s="12">
        <v>190927.98</v>
      </c>
      <c r="E67" s="14">
        <v>192003.73</v>
      </c>
      <c r="F67" s="14">
        <v>204128.22</v>
      </c>
      <c r="G67" s="14">
        <v>204969.18</v>
      </c>
      <c r="H67" s="13">
        <v>181517.33</v>
      </c>
    </row>
    <row r="68" spans="1:8" x14ac:dyDescent="0.25">
      <c r="A68" s="21" t="s">
        <v>88</v>
      </c>
      <c r="B68" s="11" t="s">
        <v>15</v>
      </c>
      <c r="C68" s="14">
        <v>439267.67</v>
      </c>
      <c r="D68" s="12">
        <f>479635.76+17733.44</f>
        <v>497369.2</v>
      </c>
      <c r="E68" s="14">
        <f>62776.35+558624.32</f>
        <v>621400.66999999993</v>
      </c>
      <c r="F68" s="14">
        <f>796278.38+66993.46</f>
        <v>863271.84</v>
      </c>
      <c r="G68" s="14">
        <f>311012.2+268911.53</f>
        <v>579923.73</v>
      </c>
      <c r="H68" s="13">
        <f>1850+931471.13</f>
        <v>933321.13</v>
      </c>
    </row>
    <row r="69" spans="1:8" x14ac:dyDescent="0.25">
      <c r="A69" s="21" t="s">
        <v>89</v>
      </c>
      <c r="B69" s="11" t="s">
        <v>122</v>
      </c>
      <c r="C69" s="14">
        <v>0</v>
      </c>
      <c r="D69" s="12">
        <v>46677.66</v>
      </c>
      <c r="E69" s="14">
        <v>25977.87</v>
      </c>
      <c r="F69" s="14">
        <v>0</v>
      </c>
      <c r="G69" s="14">
        <v>0</v>
      </c>
      <c r="H69" s="13">
        <v>0</v>
      </c>
    </row>
    <row r="70" spans="1:8" x14ac:dyDescent="0.25">
      <c r="A70" s="21" t="s">
        <v>90</v>
      </c>
      <c r="B70" s="11" t="s">
        <v>16</v>
      </c>
      <c r="C70" s="14">
        <v>0</v>
      </c>
      <c r="D70" s="12">
        <v>0</v>
      </c>
      <c r="E70" s="14">
        <v>0</v>
      </c>
      <c r="F70" s="14">
        <v>0</v>
      </c>
      <c r="G70" s="14">
        <v>0</v>
      </c>
      <c r="H70" s="13">
        <v>0</v>
      </c>
    </row>
    <row r="71" spans="1:8" ht="26.25" x14ac:dyDescent="0.25">
      <c r="A71" s="21" t="s">
        <v>91</v>
      </c>
      <c r="B71" s="9" t="s">
        <v>23</v>
      </c>
      <c r="C71" s="10">
        <f>SUBTOTAL(9,C72:C75)</f>
        <v>228229.87</v>
      </c>
      <c r="D71" s="10">
        <f>SUBTOTAL(9,D72:D75)</f>
        <v>292404.37</v>
      </c>
      <c r="E71" s="10">
        <f>SUBTOTAL(9,E72:E75)</f>
        <v>313710.28000000003</v>
      </c>
      <c r="F71" s="10">
        <f t="shared" ref="F71:H71" si="8">SUBTOTAL(9,F72:F75)</f>
        <v>344288.19</v>
      </c>
      <c r="G71" s="10">
        <f t="shared" si="8"/>
        <v>191242.51</v>
      </c>
      <c r="H71" s="10">
        <f t="shared" si="8"/>
        <v>243168.09</v>
      </c>
    </row>
    <row r="72" spans="1:8" x14ac:dyDescent="0.25">
      <c r="A72" s="21" t="s">
        <v>92</v>
      </c>
      <c r="B72" s="11" t="s">
        <v>14</v>
      </c>
      <c r="C72" s="12">
        <v>144877.26</v>
      </c>
      <c r="D72" s="15">
        <v>150160.63</v>
      </c>
      <c r="E72" s="15">
        <v>126003.24</v>
      </c>
      <c r="F72" s="16">
        <v>121686.18</v>
      </c>
      <c r="G72" s="14">
        <v>127170.86</v>
      </c>
      <c r="H72" s="17">
        <v>114538.67</v>
      </c>
    </row>
    <row r="73" spans="1:8" x14ac:dyDescent="0.25">
      <c r="A73" s="21" t="s">
        <v>93</v>
      </c>
      <c r="B73" s="11" t="s">
        <v>15</v>
      </c>
      <c r="C73" s="12">
        <v>83352.61</v>
      </c>
      <c r="D73" s="15">
        <f>42052.67+15969.03</f>
        <v>58021.7</v>
      </c>
      <c r="E73" s="15">
        <f>45768.69+52723.79</f>
        <v>98492.48000000001</v>
      </c>
      <c r="F73" s="16">
        <f>2877.27+121319.17</f>
        <v>124196.44</v>
      </c>
      <c r="G73" s="14">
        <f>3000+61071.65</f>
        <v>64071.65</v>
      </c>
      <c r="H73" s="17">
        <v>128629.42</v>
      </c>
    </row>
    <row r="74" spans="1:8" x14ac:dyDescent="0.25">
      <c r="A74" s="21" t="s">
        <v>94</v>
      </c>
      <c r="B74" s="11" t="s">
        <v>122</v>
      </c>
      <c r="C74" s="14">
        <v>0</v>
      </c>
      <c r="D74" s="15">
        <v>84222.04</v>
      </c>
      <c r="E74" s="15">
        <v>89214.56</v>
      </c>
      <c r="F74" s="16">
        <v>98405.57</v>
      </c>
      <c r="G74" s="14">
        <v>0</v>
      </c>
      <c r="H74" s="17">
        <v>0</v>
      </c>
    </row>
    <row r="75" spans="1:8" x14ac:dyDescent="0.25">
      <c r="A75" s="21" t="s">
        <v>95</v>
      </c>
      <c r="B75" s="11" t="s">
        <v>16</v>
      </c>
      <c r="C75" s="12">
        <v>0</v>
      </c>
      <c r="D75" s="15">
        <v>0</v>
      </c>
      <c r="E75" s="15">
        <v>0</v>
      </c>
      <c r="F75" s="16">
        <v>0</v>
      </c>
      <c r="G75" s="14">
        <v>0</v>
      </c>
      <c r="H75" s="17">
        <v>0</v>
      </c>
    </row>
    <row r="76" spans="1:8" ht="26.25" x14ac:dyDescent="0.25">
      <c r="A76" s="21" t="s">
        <v>96</v>
      </c>
      <c r="B76" s="4" t="s">
        <v>24</v>
      </c>
      <c r="C76" s="10">
        <f>SUBTOTAL(9,C77:C79)</f>
        <v>0</v>
      </c>
      <c r="D76" s="10">
        <f>SUBTOTAL(9,D77:D79)</f>
        <v>0</v>
      </c>
      <c r="E76" s="10">
        <f>SUBTOTAL(9,E77:E79)</f>
        <v>0</v>
      </c>
      <c r="F76" s="10">
        <f t="shared" ref="F76:H76" si="9">SUBTOTAL(9,F77:F79)</f>
        <v>0</v>
      </c>
      <c r="G76" s="10">
        <f t="shared" si="9"/>
        <v>0</v>
      </c>
      <c r="H76" s="10">
        <f t="shared" si="9"/>
        <v>0</v>
      </c>
    </row>
    <row r="77" spans="1:8" x14ac:dyDescent="0.25">
      <c r="A77" s="21" t="s">
        <v>97</v>
      </c>
      <c r="B77" s="11" t="s">
        <v>14</v>
      </c>
      <c r="C77" s="12">
        <v>0</v>
      </c>
      <c r="D77" s="12">
        <v>0</v>
      </c>
      <c r="E77" s="14">
        <v>0</v>
      </c>
      <c r="F77" s="18">
        <v>0</v>
      </c>
      <c r="G77" s="14">
        <v>0</v>
      </c>
      <c r="H77" s="13"/>
    </row>
    <row r="78" spans="1:8" x14ac:dyDescent="0.25">
      <c r="A78" s="21" t="s">
        <v>53</v>
      </c>
      <c r="B78" s="11" t="s">
        <v>15</v>
      </c>
      <c r="C78" s="12">
        <v>0</v>
      </c>
      <c r="D78" s="12">
        <v>0</v>
      </c>
      <c r="E78" s="14">
        <v>0</v>
      </c>
      <c r="F78" s="18">
        <v>0</v>
      </c>
      <c r="G78" s="14">
        <v>0</v>
      </c>
      <c r="H78" s="13"/>
    </row>
    <row r="79" spans="1:8" x14ac:dyDescent="0.25">
      <c r="A79" s="21" t="s">
        <v>98</v>
      </c>
      <c r="B79" s="11" t="s">
        <v>122</v>
      </c>
      <c r="C79" s="14">
        <v>0</v>
      </c>
      <c r="D79" s="12">
        <v>0</v>
      </c>
      <c r="E79" s="14">
        <v>0</v>
      </c>
      <c r="F79" s="18">
        <v>0</v>
      </c>
      <c r="G79" s="14">
        <v>0</v>
      </c>
      <c r="H79" s="13"/>
    </row>
    <row r="80" spans="1:8" ht="26.25" x14ac:dyDescent="0.25">
      <c r="A80" s="21" t="s">
        <v>99</v>
      </c>
      <c r="B80" s="29" t="s">
        <v>25</v>
      </c>
      <c r="C80" s="10">
        <f>SUBTOTAL(9,C81:C84)</f>
        <v>0</v>
      </c>
      <c r="D80" s="10">
        <f>SUBTOTAL(9,D81:D84)</f>
        <v>17922.02</v>
      </c>
      <c r="E80" s="10">
        <f>SUBTOTAL(9,E81:E84)</f>
        <v>50686.11</v>
      </c>
      <c r="F80" s="10">
        <f t="shared" ref="F80:H80" si="10">SUBTOTAL(9,F81:F84)</f>
        <v>426263.76</v>
      </c>
      <c r="G80" s="10">
        <f t="shared" si="10"/>
        <v>84209.71</v>
      </c>
      <c r="H80" s="10">
        <f t="shared" si="10"/>
        <v>78799.34</v>
      </c>
    </row>
    <row r="81" spans="1:8" x14ac:dyDescent="0.25">
      <c r="A81" s="21" t="s">
        <v>100</v>
      </c>
      <c r="B81" s="30" t="s">
        <v>14</v>
      </c>
      <c r="C81" s="12"/>
      <c r="D81" s="12">
        <v>17922.02</v>
      </c>
      <c r="E81" s="16">
        <v>41958.080000000002</v>
      </c>
      <c r="F81" s="18">
        <v>42368.61</v>
      </c>
      <c r="G81" s="14">
        <v>71430.86</v>
      </c>
      <c r="H81" s="13">
        <v>72001.55</v>
      </c>
    </row>
    <row r="82" spans="1:8" x14ac:dyDescent="0.25">
      <c r="A82" s="21" t="s">
        <v>101</v>
      </c>
      <c r="B82" s="30" t="s">
        <v>15</v>
      </c>
      <c r="C82" s="12"/>
      <c r="D82" s="12">
        <v>0</v>
      </c>
      <c r="E82" s="16">
        <f>8352.15+375.88</f>
        <v>8728.0299999999988</v>
      </c>
      <c r="F82" s="18">
        <f>183.68+10223.95</f>
        <v>10407.630000000001</v>
      </c>
      <c r="G82" s="14">
        <f>3185.83+9593.02</f>
        <v>12778.85</v>
      </c>
      <c r="H82" s="13">
        <v>6797.79</v>
      </c>
    </row>
    <row r="83" spans="1:8" x14ac:dyDescent="0.25">
      <c r="A83" s="21" t="s">
        <v>102</v>
      </c>
      <c r="B83" s="30" t="s">
        <v>122</v>
      </c>
      <c r="C83" s="14"/>
      <c r="D83" s="12">
        <v>0</v>
      </c>
      <c r="E83" s="16">
        <v>0</v>
      </c>
      <c r="F83" s="18">
        <v>0</v>
      </c>
      <c r="G83" s="14">
        <v>0</v>
      </c>
      <c r="H83" s="13">
        <v>0</v>
      </c>
    </row>
    <row r="84" spans="1:8" x14ac:dyDescent="0.25">
      <c r="A84" s="21" t="s">
        <v>103</v>
      </c>
      <c r="B84" s="30" t="s">
        <v>16</v>
      </c>
      <c r="C84" s="14"/>
      <c r="D84" s="12">
        <v>0</v>
      </c>
      <c r="E84" s="16">
        <v>0</v>
      </c>
      <c r="F84" s="18">
        <v>373487.52</v>
      </c>
      <c r="G84" s="14">
        <v>0</v>
      </c>
      <c r="H84" s="13">
        <v>0</v>
      </c>
    </row>
    <row r="85" spans="1:8" x14ac:dyDescent="0.25">
      <c r="A85" s="21" t="s">
        <v>104</v>
      </c>
      <c r="B85" s="4" t="s">
        <v>26</v>
      </c>
      <c r="C85" s="10">
        <f>SUBTOTAL(9,C86:C88)</f>
        <v>0</v>
      </c>
      <c r="D85" s="10">
        <f>SUBTOTAL(9,D86:D88)</f>
        <v>0</v>
      </c>
      <c r="E85" s="10">
        <f>SUBTOTAL(9,E86:E88)</f>
        <v>0</v>
      </c>
      <c r="F85" s="10">
        <f t="shared" ref="F85:H85" si="11">SUBTOTAL(9,F86:F88)</f>
        <v>1517330.68</v>
      </c>
      <c r="G85" s="10">
        <f t="shared" si="11"/>
        <v>3661757.35</v>
      </c>
      <c r="H85" s="10">
        <f t="shared" si="11"/>
        <v>2803931.7800000003</v>
      </c>
    </row>
    <row r="86" spans="1:8" x14ac:dyDescent="0.25">
      <c r="A86" s="21" t="s">
        <v>54</v>
      </c>
      <c r="B86" s="11" t="s">
        <v>14</v>
      </c>
      <c r="C86" s="12">
        <v>0</v>
      </c>
      <c r="D86" s="12">
        <v>0</v>
      </c>
      <c r="E86" s="14">
        <v>0</v>
      </c>
      <c r="F86" s="18">
        <v>0</v>
      </c>
      <c r="G86" s="14">
        <v>0</v>
      </c>
      <c r="H86" s="13">
        <v>950.7</v>
      </c>
    </row>
    <row r="87" spans="1:8" x14ac:dyDescent="0.25">
      <c r="A87" s="21" t="s">
        <v>105</v>
      </c>
      <c r="B87" s="11" t="s">
        <v>15</v>
      </c>
      <c r="C87" s="12">
        <v>0</v>
      </c>
      <c r="D87" s="12">
        <v>0</v>
      </c>
      <c r="E87" s="14">
        <v>0</v>
      </c>
      <c r="F87" s="18">
        <v>1517330.68</v>
      </c>
      <c r="G87" s="14">
        <v>3661757.35</v>
      </c>
      <c r="H87" s="13">
        <v>2802981.08</v>
      </c>
    </row>
    <row r="88" spans="1:8" x14ac:dyDescent="0.25">
      <c r="A88" s="21" t="s">
        <v>106</v>
      </c>
      <c r="B88" s="11" t="s">
        <v>122</v>
      </c>
      <c r="C88" s="14">
        <v>0</v>
      </c>
      <c r="D88" s="12">
        <v>0</v>
      </c>
      <c r="E88" s="14">
        <v>0</v>
      </c>
      <c r="F88" s="18">
        <v>0</v>
      </c>
      <c r="G88" s="14">
        <v>0</v>
      </c>
      <c r="H88" s="13">
        <v>0</v>
      </c>
    </row>
    <row r="89" spans="1:8" x14ac:dyDescent="0.25">
      <c r="A89" s="21" t="s">
        <v>107</v>
      </c>
      <c r="B89" s="4" t="s">
        <v>27</v>
      </c>
      <c r="C89" s="10">
        <f>SUBTOTAL(9,C90:C95)</f>
        <v>1405114.3599999999</v>
      </c>
      <c r="D89" s="10">
        <f>SUBTOTAL(9,D90:D95)</f>
        <v>1532360.91</v>
      </c>
      <c r="E89" s="10">
        <f>SUBTOTAL(9,E90:E95)</f>
        <v>1598612.27</v>
      </c>
      <c r="F89" s="10">
        <f t="shared" ref="F89:H89" si="12">SUBTOTAL(9,F90:F95)</f>
        <v>1703343.3900000001</v>
      </c>
      <c r="G89" s="10">
        <f t="shared" si="12"/>
        <v>1455126.16</v>
      </c>
      <c r="H89" s="10">
        <f t="shared" si="12"/>
        <v>1477382.67</v>
      </c>
    </row>
    <row r="90" spans="1:8" x14ac:dyDescent="0.25">
      <c r="A90" s="21" t="s">
        <v>108</v>
      </c>
      <c r="B90" s="11" t="s">
        <v>14</v>
      </c>
      <c r="C90" s="12">
        <v>74389.460000000006</v>
      </c>
      <c r="D90" s="12">
        <v>75949.070000000007</v>
      </c>
      <c r="E90" s="14">
        <v>57819.44</v>
      </c>
      <c r="F90" s="18">
        <v>58402.080000000002</v>
      </c>
      <c r="G90" s="14">
        <v>72822.210000000006</v>
      </c>
      <c r="H90" s="13">
        <v>55665.2</v>
      </c>
    </row>
    <row r="91" spans="1:8" x14ac:dyDescent="0.25">
      <c r="A91" s="21" t="s">
        <v>109</v>
      </c>
      <c r="B91" s="11" t="s">
        <v>28</v>
      </c>
      <c r="C91" s="12">
        <v>1290281.1499999999</v>
      </c>
      <c r="D91" s="15">
        <v>1285448.56</v>
      </c>
      <c r="E91" s="14">
        <v>1506158</v>
      </c>
      <c r="F91" s="18">
        <v>1322053.3</v>
      </c>
      <c r="G91" s="14">
        <v>1359304.56</v>
      </c>
      <c r="H91" s="13">
        <v>1352524.93</v>
      </c>
    </row>
    <row r="92" spans="1:8" x14ac:dyDescent="0.25">
      <c r="A92" s="21" t="s">
        <v>110</v>
      </c>
      <c r="B92" s="11" t="s">
        <v>15</v>
      </c>
      <c r="C92" s="12">
        <f>1189.37+396.43+11475</f>
        <v>13060.8</v>
      </c>
      <c r="D92" s="13">
        <f>848.7+287.93</f>
        <v>1136.6300000000001</v>
      </c>
      <c r="E92" s="13">
        <f>698.88+287.93</f>
        <v>986.81</v>
      </c>
      <c r="F92" s="19">
        <f>1084.65+301789.6</f>
        <v>302874.25</v>
      </c>
      <c r="G92" s="13">
        <v>3653.63</v>
      </c>
      <c r="H92" s="13">
        <f>51865.47+4733.07</f>
        <v>56598.54</v>
      </c>
    </row>
    <row r="93" spans="1:8" ht="26.25" x14ac:dyDescent="0.25">
      <c r="A93" s="21" t="s">
        <v>132</v>
      </c>
      <c r="B93" s="11" t="s">
        <v>29</v>
      </c>
      <c r="C93" s="12">
        <v>27382.95</v>
      </c>
      <c r="D93" s="12">
        <v>27382.95</v>
      </c>
      <c r="E93" s="14">
        <v>27382.95</v>
      </c>
      <c r="F93" s="18">
        <v>12594</v>
      </c>
      <c r="G93" s="14">
        <v>12594</v>
      </c>
      <c r="H93" s="13">
        <v>12594</v>
      </c>
    </row>
    <row r="94" spans="1:8" x14ac:dyDescent="0.25">
      <c r="A94" s="21" t="s">
        <v>133</v>
      </c>
      <c r="B94" s="11" t="s">
        <v>122</v>
      </c>
      <c r="C94" s="14">
        <v>0</v>
      </c>
      <c r="D94" s="12">
        <v>142443.70000000001</v>
      </c>
      <c r="E94" s="14">
        <f>5395.29+869.78</f>
        <v>6265.07</v>
      </c>
      <c r="F94" s="18">
        <v>7419.76</v>
      </c>
      <c r="G94" s="14">
        <v>6751.76</v>
      </c>
      <c r="H94" s="13">
        <v>0</v>
      </c>
    </row>
    <row r="95" spans="1:8" x14ac:dyDescent="0.25">
      <c r="A95" s="21" t="s">
        <v>134</v>
      </c>
      <c r="B95" s="11" t="s">
        <v>16</v>
      </c>
      <c r="C95" s="14">
        <v>0</v>
      </c>
      <c r="D95" s="12">
        <v>0</v>
      </c>
      <c r="E95" s="14">
        <v>0</v>
      </c>
      <c r="F95" s="18">
        <v>0</v>
      </c>
      <c r="G95" s="14">
        <v>0</v>
      </c>
      <c r="H95" s="13">
        <v>0</v>
      </c>
    </row>
    <row r="96" spans="1:8" x14ac:dyDescent="0.25">
      <c r="A96" s="21" t="s">
        <v>111</v>
      </c>
      <c r="B96" s="4" t="s">
        <v>30</v>
      </c>
      <c r="C96" s="10">
        <f>SUBTOTAL(9,C97:C101)</f>
        <v>6626661.8100000005</v>
      </c>
      <c r="D96" s="10">
        <f>SUBTOTAL(9,D97:D101)</f>
        <v>5969121.0099999998</v>
      </c>
      <c r="E96" s="10">
        <f>SUBTOTAL(9,E97:E101)</f>
        <v>6747895.2000000002</v>
      </c>
      <c r="F96" s="10">
        <f t="shared" ref="F96:H96" si="13">SUBTOTAL(9,F97:F101)</f>
        <v>5860722.9300000006</v>
      </c>
      <c r="G96" s="10">
        <f t="shared" si="13"/>
        <v>7935399.8500000006</v>
      </c>
      <c r="H96" s="10">
        <f t="shared" si="13"/>
        <v>6340061.7199999997</v>
      </c>
    </row>
    <row r="97" spans="1:8" x14ac:dyDescent="0.25">
      <c r="A97" s="21" t="s">
        <v>112</v>
      </c>
      <c r="B97" s="11" t="s">
        <v>14</v>
      </c>
      <c r="C97" s="12">
        <v>220448.49</v>
      </c>
      <c r="D97" s="12">
        <v>219345.92000000001</v>
      </c>
      <c r="E97" s="14">
        <v>210170.3</v>
      </c>
      <c r="F97" s="18">
        <v>215560.49</v>
      </c>
      <c r="G97" s="14">
        <v>258361.34</v>
      </c>
      <c r="H97" s="13">
        <v>207225.08</v>
      </c>
    </row>
    <row r="98" spans="1:8" ht="26.25" x14ac:dyDescent="0.25">
      <c r="A98" s="21" t="s">
        <v>113</v>
      </c>
      <c r="B98" s="11" t="s">
        <v>31</v>
      </c>
      <c r="C98" s="12">
        <v>6376724.29</v>
      </c>
      <c r="D98" s="15">
        <v>5727700.2800000003</v>
      </c>
      <c r="E98" s="32">
        <v>6509946.3200000003</v>
      </c>
      <c r="F98" s="18">
        <v>5610627.54</v>
      </c>
      <c r="G98" s="14">
        <v>7653940.4400000004</v>
      </c>
      <c r="H98" s="13">
        <v>6094202.6799999997</v>
      </c>
    </row>
    <row r="99" spans="1:8" x14ac:dyDescent="0.25">
      <c r="A99" s="21" t="s">
        <v>114</v>
      </c>
      <c r="B99" s="11" t="s">
        <v>15</v>
      </c>
      <c r="C99" s="12">
        <f>29338.71+55.32+95</f>
        <v>29489.03</v>
      </c>
      <c r="D99" s="12">
        <v>22074.81</v>
      </c>
      <c r="E99" s="14">
        <f>27576.59+55.32+146.67</f>
        <v>27778.579999999998</v>
      </c>
      <c r="F99" s="19">
        <v>34534.9</v>
      </c>
      <c r="G99" s="13">
        <v>23098.07</v>
      </c>
      <c r="H99" s="13">
        <v>38633.96</v>
      </c>
    </row>
    <row r="100" spans="1:8" x14ac:dyDescent="0.25">
      <c r="A100" s="21" t="s">
        <v>115</v>
      </c>
      <c r="B100" s="11" t="s">
        <v>122</v>
      </c>
      <c r="C100" s="14"/>
      <c r="D100" s="12">
        <v>0</v>
      </c>
      <c r="E100" s="13">
        <v>0</v>
      </c>
      <c r="F100" s="19">
        <v>0</v>
      </c>
      <c r="G100" s="13">
        <v>0</v>
      </c>
      <c r="H100" s="13">
        <v>0</v>
      </c>
    </row>
    <row r="101" spans="1:8" x14ac:dyDescent="0.25">
      <c r="A101" s="21" t="s">
        <v>116</v>
      </c>
      <c r="B101" s="11" t="s">
        <v>16</v>
      </c>
      <c r="C101" s="14"/>
      <c r="D101" s="12">
        <v>0</v>
      </c>
      <c r="E101" s="13">
        <v>0</v>
      </c>
      <c r="F101" s="19">
        <v>0</v>
      </c>
      <c r="G101" s="13">
        <v>0</v>
      </c>
      <c r="H101" s="13">
        <v>0</v>
      </c>
    </row>
    <row r="102" spans="1:8" x14ac:dyDescent="0.25">
      <c r="A102" s="21" t="s">
        <v>117</v>
      </c>
      <c r="B102" s="4" t="s">
        <v>32</v>
      </c>
      <c r="C102" s="10">
        <f>SUBTOTAL(9,C103:C106)</f>
        <v>1673471.9400000002</v>
      </c>
      <c r="D102" s="10">
        <f>SUBTOTAL(9,D103:D106)</f>
        <v>1587906.33</v>
      </c>
      <c r="E102" s="10">
        <f>SUBTOTAL(9,E103:E106)</f>
        <v>1369150.32</v>
      </c>
      <c r="F102" s="10">
        <f t="shared" ref="F102:H102" si="14">SUBTOTAL(9,F103:F106)</f>
        <v>1315678.6399999999</v>
      </c>
      <c r="G102" s="10">
        <f>SUBTOTAL(9,G103:G106)</f>
        <v>1499654.73</v>
      </c>
      <c r="H102" s="10">
        <f t="shared" si="14"/>
        <v>1444375.67</v>
      </c>
    </row>
    <row r="103" spans="1:8" x14ac:dyDescent="0.25">
      <c r="A103" s="21" t="s">
        <v>118</v>
      </c>
      <c r="B103" s="11" t="s">
        <v>14</v>
      </c>
      <c r="C103" s="12">
        <v>1439848.03</v>
      </c>
      <c r="D103" s="12">
        <v>1077570.74</v>
      </c>
      <c r="E103" s="12">
        <v>1124903.83</v>
      </c>
      <c r="F103" s="20">
        <v>1112843.54</v>
      </c>
      <c r="G103" s="12">
        <v>1285608.26</v>
      </c>
      <c r="H103" s="13">
        <v>1085203.79</v>
      </c>
    </row>
    <row r="104" spans="1:8" x14ac:dyDescent="0.25">
      <c r="A104" s="21" t="s">
        <v>119</v>
      </c>
      <c r="B104" s="11" t="s">
        <v>15</v>
      </c>
      <c r="C104" s="12">
        <v>202648.57</v>
      </c>
      <c r="D104" s="13">
        <v>99494.85</v>
      </c>
      <c r="E104" s="13">
        <f>155792.7+4102.06</f>
        <v>159894.76</v>
      </c>
      <c r="F104" s="19">
        <f>168466.12+8.39</f>
        <v>168474.51</v>
      </c>
      <c r="G104" s="13">
        <f>115975.95</f>
        <v>115975.95</v>
      </c>
      <c r="H104" s="13">
        <f>234107.7+28430.72</f>
        <v>262538.42000000004</v>
      </c>
    </row>
    <row r="105" spans="1:8" x14ac:dyDescent="0.25">
      <c r="A105" s="21" t="s">
        <v>120</v>
      </c>
      <c r="B105" s="11" t="s">
        <v>16</v>
      </c>
      <c r="C105" s="12">
        <v>30975.34</v>
      </c>
      <c r="D105" s="13">
        <v>291670</v>
      </c>
      <c r="E105" s="13">
        <v>48833.93</v>
      </c>
      <c r="F105" s="19">
        <v>8846.43</v>
      </c>
      <c r="G105" s="13">
        <v>71000</v>
      </c>
      <c r="H105" s="13">
        <v>86743</v>
      </c>
    </row>
    <row r="106" spans="1:8" x14ac:dyDescent="0.25">
      <c r="A106" s="21" t="s">
        <v>121</v>
      </c>
      <c r="B106" s="11" t="s">
        <v>122</v>
      </c>
      <c r="C106" s="14">
        <v>0</v>
      </c>
      <c r="D106" s="13">
        <v>119170.74</v>
      </c>
      <c r="E106" s="13">
        <v>35517.800000000003</v>
      </c>
      <c r="F106" s="19">
        <v>25514.16</v>
      </c>
      <c r="G106" s="13">
        <v>27070.52</v>
      </c>
      <c r="H106" s="13">
        <v>9890.4599999999991</v>
      </c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Execução Orçamentária Mensal
Regime de Apuração 2020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2021-07-30T19:01:08Z</cp:lastPrinted>
  <dcterms:created xsi:type="dcterms:W3CDTF">2021-07-12T21:39:46Z</dcterms:created>
  <dcterms:modified xsi:type="dcterms:W3CDTF">2021-10-08T20:31:43Z</dcterms:modified>
</cp:coreProperties>
</file>