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fin\Portal Transparência\NOVO RELATORIO\2020\"/>
    </mc:Choice>
  </mc:AlternateContent>
  <xr:revisionPtr revIDLastSave="0" documentId="13_ncr:1_{35F94E58-673C-46E7-9F11-19BE141E0A32}" xr6:coauthVersionLast="46" xr6:coauthVersionMax="46" xr10:uidLastSave="{00000000-0000-0000-0000-000000000000}"/>
  <bookViews>
    <workbookView xWindow="20370" yWindow="-120" windowWidth="20640" windowHeight="11160" xr2:uid="{BD1B61D3-34C0-48BC-BC49-737FD0E3D34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1" l="1"/>
  <c r="H4" i="1"/>
  <c r="G4" i="1"/>
  <c r="G3" i="1"/>
  <c r="F4" i="1"/>
  <c r="F3" i="1"/>
  <c r="E4" i="1"/>
  <c r="E3" i="1"/>
  <c r="D3" i="1"/>
  <c r="D4" i="1"/>
  <c r="C4" i="1"/>
  <c r="C3" i="1"/>
  <c r="H20" i="1"/>
  <c r="H12" i="1"/>
  <c r="H31" i="1"/>
  <c r="H30" i="1"/>
  <c r="H29" i="1"/>
  <c r="H75" i="1"/>
  <c r="G12" i="1"/>
  <c r="G20" i="1"/>
  <c r="G31" i="1"/>
  <c r="G30" i="1"/>
  <c r="G29" i="1"/>
  <c r="G83" i="1"/>
  <c r="G75" i="1"/>
  <c r="F12" i="1"/>
  <c r="F20" i="1"/>
  <c r="F31" i="1"/>
  <c r="F30" i="1"/>
  <c r="F81" i="1"/>
  <c r="F75" i="1"/>
  <c r="E12" i="1"/>
  <c r="E31" i="1"/>
  <c r="E20" i="1"/>
  <c r="D12" i="1"/>
  <c r="D20" i="1"/>
  <c r="D19" i="1"/>
  <c r="D31" i="1"/>
  <c r="D30" i="1"/>
  <c r="D29" i="1"/>
  <c r="D46" i="1"/>
  <c r="C12" i="1"/>
  <c r="C20" i="1"/>
  <c r="C31" i="1"/>
  <c r="C30" i="1"/>
  <c r="C29" i="1"/>
  <c r="C75" i="1"/>
  <c r="C74" i="1"/>
  <c r="H58" i="1"/>
  <c r="H38" i="1"/>
  <c r="F58" i="1" l="1"/>
  <c r="G58" i="1"/>
  <c r="E58" i="1"/>
  <c r="D58" i="1"/>
  <c r="C58" i="1"/>
  <c r="C83" i="1" l="1"/>
  <c r="C66" i="1"/>
  <c r="C54" i="1"/>
  <c r="C46" i="1"/>
  <c r="C42" i="1"/>
  <c r="C38" i="1"/>
  <c r="C34" i="1"/>
  <c r="F83" i="1"/>
  <c r="H83" i="1"/>
  <c r="F78" i="1"/>
  <c r="G78" i="1"/>
  <c r="H78" i="1"/>
  <c r="F72" i="1"/>
  <c r="G72" i="1"/>
  <c r="H72" i="1"/>
  <c r="F69" i="1"/>
  <c r="G69" i="1"/>
  <c r="H69" i="1"/>
  <c r="F66" i="1"/>
  <c r="G66" i="1"/>
  <c r="H66" i="1"/>
  <c r="F62" i="1"/>
  <c r="G62" i="1"/>
  <c r="H62" i="1"/>
  <c r="F54" i="1"/>
  <c r="G54" i="1"/>
  <c r="H54" i="1"/>
  <c r="F50" i="1"/>
  <c r="G50" i="1"/>
  <c r="H50" i="1"/>
  <c r="F46" i="1"/>
  <c r="G46" i="1"/>
  <c r="H46" i="1"/>
  <c r="F42" i="1"/>
  <c r="G42" i="1"/>
  <c r="H42" i="1"/>
  <c r="F38" i="1"/>
  <c r="G38" i="1"/>
  <c r="F34" i="1"/>
  <c r="G34" i="1"/>
  <c r="H34" i="1"/>
  <c r="E72" i="1"/>
  <c r="E69" i="1"/>
  <c r="E66" i="1"/>
  <c r="H33" i="1" l="1"/>
  <c r="G33" i="1"/>
  <c r="F33" i="1"/>
  <c r="D66" i="1" l="1"/>
  <c r="D69" i="1"/>
  <c r="D72" i="1"/>
  <c r="E83" i="1" l="1"/>
  <c r="D83" i="1"/>
  <c r="E78" i="1"/>
  <c r="D78" i="1"/>
  <c r="C78" i="1"/>
  <c r="C72" i="1"/>
  <c r="C69" i="1"/>
  <c r="E62" i="1"/>
  <c r="D62" i="1"/>
  <c r="C62" i="1"/>
  <c r="E54" i="1"/>
  <c r="D54" i="1"/>
  <c r="E50" i="1"/>
  <c r="D50" i="1"/>
  <c r="C50" i="1"/>
  <c r="E46" i="1"/>
  <c r="E42" i="1"/>
  <c r="D42" i="1"/>
  <c r="E38" i="1"/>
  <c r="D38" i="1"/>
  <c r="E34" i="1"/>
  <c r="D34" i="1"/>
  <c r="E33" i="1" l="1"/>
  <c r="D33" i="1"/>
  <c r="C33" i="1"/>
</calcChain>
</file>

<file path=xl/sharedStrings.xml><?xml version="1.0" encoding="utf-8"?>
<sst xmlns="http://schemas.openxmlformats.org/spreadsheetml/2006/main" count="170" uniqueCount="111">
  <si>
    <t>Previsão de Receita</t>
  </si>
  <si>
    <t>Janeiro</t>
  </si>
  <si>
    <t>Fevereiro</t>
  </si>
  <si>
    <t>Março</t>
  </si>
  <si>
    <t>Abril</t>
  </si>
  <si>
    <t>Maio</t>
  </si>
  <si>
    <t>Junho</t>
  </si>
  <si>
    <t>Tesouro</t>
  </si>
  <si>
    <t>PROTEGE</t>
  </si>
  <si>
    <t>Pessoal e encargos</t>
  </si>
  <si>
    <t>Investimento Tesouro</t>
  </si>
  <si>
    <t>Investimento PROTEGE</t>
  </si>
  <si>
    <t>Saldo em disponibilidade</t>
  </si>
  <si>
    <t>Repasses recebidos</t>
  </si>
  <si>
    <t>Outras entradas</t>
  </si>
  <si>
    <t>Rendimento de Aplicação - Tesouro</t>
  </si>
  <si>
    <t>Rendimento de Aplicação - PROTEGE</t>
  </si>
  <si>
    <t>Despesas Pagas e Investimentos</t>
  </si>
  <si>
    <t>CENTRO DE IDOSOS SAGRADA FAMÍLIA - CISF</t>
  </si>
  <si>
    <t>Pessoal e Encargos</t>
  </si>
  <si>
    <t>Despesas Correntes</t>
  </si>
  <si>
    <t>Investimento</t>
  </si>
  <si>
    <t xml:space="preserve">CENTRO DE IDOSOS VILA VIDA - CIVV </t>
  </si>
  <si>
    <t>ESPAÇO BEM VIVER l - CM</t>
  </si>
  <si>
    <t>ESPAÇO BEM VIVER ll - NF</t>
  </si>
  <si>
    <t>CENTRO DE ADOLESCENTES TECENDO O FUTURO - CATF</t>
  </si>
  <si>
    <t>CENTRO SOCIAL DONA GERCINA BORGES - CSDGB</t>
  </si>
  <si>
    <t>GERÊNCIA DE VOLUNTARIADO E PARCERIAS SOCIAIS - GVPS</t>
  </si>
  <si>
    <t>CASA DO INTERIOR DE GOIÁS - CIGO</t>
  </si>
  <si>
    <t>CENTRO DE APOIO AOS ROMEIROS</t>
  </si>
  <si>
    <t>NATAL DO BEM</t>
  </si>
  <si>
    <t>RESTAURANTE DO BEM</t>
  </si>
  <si>
    <t>Despesas com refeições</t>
  </si>
  <si>
    <t>Despesas com Aluguel dos Restaurantes</t>
  </si>
  <si>
    <t>BOLSA UNIVERSITÁRIA</t>
  </si>
  <si>
    <t>Despesas com auxílio estudantil</t>
  </si>
  <si>
    <t>APOIO ADMINISTRATIVO</t>
  </si>
  <si>
    <t>1 -</t>
  </si>
  <si>
    <t>1.1</t>
  </si>
  <si>
    <t>1.2</t>
  </si>
  <si>
    <t>1.3</t>
  </si>
  <si>
    <t>1.4</t>
  </si>
  <si>
    <t>1.5</t>
  </si>
  <si>
    <t>2 -</t>
  </si>
  <si>
    <t>2.1</t>
  </si>
  <si>
    <t>2.2</t>
  </si>
  <si>
    <t>2.3</t>
  </si>
  <si>
    <t>3 -</t>
  </si>
  <si>
    <t>3.1</t>
  </si>
  <si>
    <t>3.2</t>
  </si>
  <si>
    <t>4 -</t>
  </si>
  <si>
    <t>4.1</t>
  </si>
  <si>
    <t>4.2</t>
  </si>
  <si>
    <t>4.3</t>
  </si>
  <si>
    <t>5.9.2</t>
  </si>
  <si>
    <t>5.11.1</t>
  </si>
  <si>
    <t>5 -</t>
  </si>
  <si>
    <t>5.1</t>
  </si>
  <si>
    <t>5.1.1</t>
  </si>
  <si>
    <t>5.1.2</t>
  </si>
  <si>
    <t>5.1.3</t>
  </si>
  <si>
    <t>5.2</t>
  </si>
  <si>
    <t>5.2.1</t>
  </si>
  <si>
    <t>5.2.2</t>
  </si>
  <si>
    <t>5.2.3</t>
  </si>
  <si>
    <t>5.3</t>
  </si>
  <si>
    <t>5.3.1</t>
  </si>
  <si>
    <t>5.3.2</t>
  </si>
  <si>
    <t>5.3.3</t>
  </si>
  <si>
    <t>5.4</t>
  </si>
  <si>
    <t>5.4.1</t>
  </si>
  <si>
    <t>5.4.2</t>
  </si>
  <si>
    <t>5.4.3</t>
  </si>
  <si>
    <t>5.5</t>
  </si>
  <si>
    <t>5.5.1</t>
  </si>
  <si>
    <t>5.5.2</t>
  </si>
  <si>
    <t>5.5.3</t>
  </si>
  <si>
    <t>5.6</t>
  </si>
  <si>
    <t>5.6.1</t>
  </si>
  <si>
    <t>5.6.2</t>
  </si>
  <si>
    <t>5.6.3</t>
  </si>
  <si>
    <t>5.7</t>
  </si>
  <si>
    <t>5.7.1</t>
  </si>
  <si>
    <t>5.7.2</t>
  </si>
  <si>
    <t>5.7.3</t>
  </si>
  <si>
    <t>5.8</t>
  </si>
  <si>
    <t>5.8.1</t>
  </si>
  <si>
    <t>5.8.2</t>
  </si>
  <si>
    <t>5.8.3</t>
  </si>
  <si>
    <t>5.9</t>
  </si>
  <si>
    <t>5.9.1</t>
  </si>
  <si>
    <t>5.10</t>
  </si>
  <si>
    <t>5.10.1</t>
  </si>
  <si>
    <t>5.10.2</t>
  </si>
  <si>
    <t>5.11</t>
  </si>
  <si>
    <t>5.11.2</t>
  </si>
  <si>
    <t>5.11.3</t>
  </si>
  <si>
    <t>5.12</t>
  </si>
  <si>
    <t>5.12.1</t>
  </si>
  <si>
    <t>5.12.2</t>
  </si>
  <si>
    <t>5.12.3</t>
  </si>
  <si>
    <t>5.13</t>
  </si>
  <si>
    <t>5.13.1</t>
  </si>
  <si>
    <t>5.13.2</t>
  </si>
  <si>
    <t>5.13.3</t>
  </si>
  <si>
    <t>5.11.4</t>
  </si>
  <si>
    <t>2.4</t>
  </si>
  <si>
    <t>2.5</t>
  </si>
  <si>
    <t>5.11.5</t>
  </si>
  <si>
    <t>5.12.4</t>
  </si>
  <si>
    <t>Recuperação de Despesa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</si>
</sst>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44" fontId="0" fillId="0" borderId="1" xfId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44" fontId="6" fillId="2" borderId="1" xfId="1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44" fontId="8" fillId="0" borderId="1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4" fontId="3" fillId="0" borderId="1" xfId="1" applyFont="1" applyFill="1" applyBorder="1" applyAlignment="1">
      <alignment wrapText="1"/>
    </xf>
    <xf numFmtId="44" fontId="3" fillId="3" borderId="1" xfId="1" applyFont="1" applyFill="1" applyBorder="1" applyAlignment="1">
      <alignment wrapText="1"/>
    </xf>
    <xf numFmtId="44" fontId="3" fillId="0" borderId="1" xfId="1" applyFont="1" applyBorder="1" applyAlignment="1">
      <alignment wrapText="1"/>
    </xf>
    <xf numFmtId="44" fontId="9" fillId="0" borderId="1" xfId="1" applyFont="1" applyFill="1" applyBorder="1" applyAlignment="1">
      <alignment wrapText="1"/>
    </xf>
    <xf numFmtId="44" fontId="9" fillId="0" borderId="1" xfId="1" applyFont="1" applyBorder="1" applyAlignment="1">
      <alignment wrapText="1"/>
    </xf>
    <xf numFmtId="44" fontId="9" fillId="3" borderId="1" xfId="1" applyFont="1" applyFill="1" applyBorder="1" applyAlignment="1">
      <alignment wrapText="1"/>
    </xf>
    <xf numFmtId="44" fontId="3" fillId="0" borderId="1" xfId="1" applyFont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4" fontId="1" fillId="0" borderId="1" xfId="1" applyFont="1" applyBorder="1"/>
    <xf numFmtId="44" fontId="1" fillId="3" borderId="1" xfId="1" applyFont="1" applyFill="1" applyBorder="1"/>
    <xf numFmtId="44" fontId="0" fillId="0" borderId="0" xfId="1" applyFont="1"/>
    <xf numFmtId="0" fontId="5" fillId="0" borderId="2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5ACD-8728-468A-9E4E-3BDA6A2E6F23}">
  <dimension ref="A1:H86"/>
  <sheetViews>
    <sheetView tabSelected="1" view="pageLayout" zoomScaleNormal="100" workbookViewId="0">
      <selection activeCell="G2" sqref="G2"/>
    </sheetView>
  </sheetViews>
  <sheetFormatPr defaultRowHeight="15" x14ac:dyDescent="0.25"/>
  <cols>
    <col min="1" max="1" width="6.42578125" customWidth="1"/>
    <col min="2" max="2" width="21" customWidth="1"/>
    <col min="3" max="7" width="19.28515625" customWidth="1"/>
    <col min="8" max="8" width="17.7109375" bestFit="1" customWidth="1"/>
  </cols>
  <sheetData>
    <row r="1" spans="1:8" ht="27.75" customHeight="1" x14ac:dyDescent="0.25">
      <c r="A1" s="28">
        <v>2020</v>
      </c>
      <c r="B1" s="28"/>
      <c r="C1" s="28"/>
      <c r="D1" s="28"/>
      <c r="E1" s="28"/>
      <c r="F1" s="28"/>
      <c r="G1" s="28"/>
      <c r="H1" s="28"/>
    </row>
    <row r="2" spans="1:8" ht="24.75" customHeight="1" x14ac:dyDescent="0.25">
      <c r="A2" s="23" t="s">
        <v>37</v>
      </c>
      <c r="B2" s="22" t="s">
        <v>0</v>
      </c>
      <c r="C2" s="22" t="s">
        <v>1</v>
      </c>
      <c r="D2" s="22" t="s">
        <v>2</v>
      </c>
      <c r="E2" s="22" t="s">
        <v>3</v>
      </c>
      <c r="F2" s="22" t="s">
        <v>4</v>
      </c>
      <c r="G2" s="22" t="s">
        <v>5</v>
      </c>
      <c r="H2" s="22" t="s">
        <v>6</v>
      </c>
    </row>
    <row r="3" spans="1:8" x14ac:dyDescent="0.25">
      <c r="A3" s="1" t="s">
        <v>38</v>
      </c>
      <c r="B3" s="1" t="s">
        <v>7</v>
      </c>
      <c r="C3" s="3">
        <f>268998.56+74495.25+52311.41+61039.36+68976.96+43851.68+1148069.96+133639.83+3000+393637.8</f>
        <v>2248020.81</v>
      </c>
      <c r="D3" s="3">
        <f>268838.56+75935.25+51161.41+61039.36+68976.96+42631.68+524669.97+133578.39+3000+383025.39</f>
        <v>1612856.9700000002</v>
      </c>
      <c r="E3" s="3">
        <f>385505.23+74495.25+227711.41+137706.03+68976.96+41651.68+524669.96+134508.39+3000+476895.39</f>
        <v>2075120.3000000003</v>
      </c>
      <c r="F3" s="3">
        <f>387665.23+75935.25+76161.41+137706.03+68976.96+41651.68+548069.96+134202.39+3000+474295.39</f>
        <v>1947664.3000000003</v>
      </c>
      <c r="G3" s="3">
        <f>368768.95+74127.91+77311.41+137706.03+68976.96+111726.9+549652.76+100000+133424.79+3000+472995.39</f>
        <v>2097691.1</v>
      </c>
      <c r="H3" s="3">
        <f>240312.78+62828.99+62541.48+47523.18+68976.97+41726.9+549652.76+130000+81163.08+3000+338962.38</f>
        <v>1626688.52</v>
      </c>
    </row>
    <row r="4" spans="1:8" x14ac:dyDescent="0.25">
      <c r="A4" s="1" t="s">
        <v>39</v>
      </c>
      <c r="B4" s="1" t="s">
        <v>8</v>
      </c>
      <c r="C4" s="3">
        <f>1467707.6+144100+10545.98+46836.59+4508184</f>
        <v>6177374.1699999999</v>
      </c>
      <c r="D4" s="3">
        <f>1311547.89+131000+46836.59+4427684+10905.97</f>
        <v>5927974.4500000002</v>
      </c>
      <c r="E4" s="3">
        <f>1555395.34+144100+8385.97+46836.59+4507684</f>
        <v>6262401.9000000004</v>
      </c>
      <c r="F4" s="3">
        <f>1418497.13+131000+8745.97+46836.59+4427684</f>
        <v>6032763.6899999995</v>
      </c>
      <c r="G4" s="3">
        <f>1400536.15+144100+14167.97+46836.59+4507684</f>
        <v>6113324.71</v>
      </c>
      <c r="H4" s="3">
        <f>1454197.5+144100+7665.97+46836.59+4427684</f>
        <v>6080484.0600000005</v>
      </c>
    </row>
    <row r="5" spans="1:8" x14ac:dyDescent="0.25">
      <c r="A5" s="1" t="s">
        <v>40</v>
      </c>
      <c r="B5" s="1" t="s">
        <v>9</v>
      </c>
      <c r="C5" s="3">
        <v>3462348.21</v>
      </c>
      <c r="D5" s="3">
        <v>3459490.62</v>
      </c>
      <c r="E5" s="3">
        <v>3544007.56</v>
      </c>
      <c r="F5" s="3">
        <v>3545731.11</v>
      </c>
      <c r="G5" s="3">
        <v>3545731.11</v>
      </c>
      <c r="H5" s="3">
        <v>3645731.11</v>
      </c>
    </row>
    <row r="6" spans="1:8" x14ac:dyDescent="0.25">
      <c r="A6" s="1" t="s">
        <v>41</v>
      </c>
      <c r="B6" s="1" t="s">
        <v>10</v>
      </c>
      <c r="C6" s="3">
        <v>0</v>
      </c>
      <c r="D6" s="3">
        <v>0</v>
      </c>
      <c r="E6" s="3">
        <v>0</v>
      </c>
      <c r="F6" s="3">
        <v>0</v>
      </c>
      <c r="G6" s="3">
        <v>150000</v>
      </c>
      <c r="H6" s="3">
        <v>150000</v>
      </c>
    </row>
    <row r="7" spans="1:8" x14ac:dyDescent="0.25">
      <c r="A7" s="1" t="s">
        <v>42</v>
      </c>
      <c r="B7" s="1" t="s">
        <v>11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</row>
    <row r="10" spans="1:8" ht="22.5" customHeight="1" x14ac:dyDescent="0.25">
      <c r="A10" s="23" t="s">
        <v>43</v>
      </c>
      <c r="B10" s="22" t="s">
        <v>13</v>
      </c>
      <c r="C10" s="22" t="s">
        <v>1</v>
      </c>
      <c r="D10" s="22" t="s">
        <v>2</v>
      </c>
      <c r="E10" s="22" t="s">
        <v>3</v>
      </c>
      <c r="F10" s="22" t="s">
        <v>4</v>
      </c>
      <c r="G10" s="22" t="s">
        <v>5</v>
      </c>
      <c r="H10" s="22" t="s">
        <v>6</v>
      </c>
    </row>
    <row r="11" spans="1:8" x14ac:dyDescent="0.25">
      <c r="A11" s="1" t="s">
        <v>44</v>
      </c>
      <c r="B11" s="1" t="s">
        <v>7</v>
      </c>
      <c r="C11" s="3">
        <v>2368039.04</v>
      </c>
      <c r="D11" s="3">
        <v>2247922.31</v>
      </c>
      <c r="E11" s="27">
        <v>1612847.46</v>
      </c>
      <c r="F11" s="25">
        <v>1598604.97</v>
      </c>
      <c r="G11" s="3">
        <v>1825823.67</v>
      </c>
      <c r="H11" s="26">
        <v>1660658.98</v>
      </c>
    </row>
    <row r="12" spans="1:8" x14ac:dyDescent="0.25">
      <c r="A12" s="1" t="s">
        <v>45</v>
      </c>
      <c r="B12" s="1" t="s">
        <v>8</v>
      </c>
      <c r="C12" s="3">
        <f>8359168.21+2778019.18</f>
        <v>11137187.390000001</v>
      </c>
      <c r="D12" s="3">
        <f>1525080.66+6633642.71</f>
        <v>8158723.3700000001</v>
      </c>
      <c r="E12" s="3">
        <f>1369238.95+6553142.71</f>
        <v>7922381.6600000001</v>
      </c>
      <c r="F12" s="3">
        <f>1404238.59+6572292.21</f>
        <v>7976530.7999999998</v>
      </c>
      <c r="G12" s="3">
        <f>1401728.03+6524260.21</f>
        <v>7925988.2400000002</v>
      </c>
      <c r="H12" s="26">
        <f>1255814.93+6541882.21</f>
        <v>7797697.1399999997</v>
      </c>
    </row>
    <row r="13" spans="1:8" x14ac:dyDescent="0.25">
      <c r="A13" s="1" t="s">
        <v>46</v>
      </c>
      <c r="B13" s="1" t="s">
        <v>9</v>
      </c>
      <c r="C13" s="3">
        <v>0</v>
      </c>
      <c r="D13" s="3">
        <v>2332903.85</v>
      </c>
      <c r="E13" s="3">
        <v>2318067.12</v>
      </c>
      <c r="F13" s="3">
        <v>2399931.36</v>
      </c>
      <c r="G13" s="3">
        <v>2329378.73</v>
      </c>
      <c r="H13" s="26">
        <v>2363178.7799999998</v>
      </c>
    </row>
    <row r="14" spans="1:8" x14ac:dyDescent="0.25">
      <c r="A14" s="1" t="s">
        <v>106</v>
      </c>
      <c r="B14" s="1" t="s">
        <v>10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26">
        <v>0</v>
      </c>
    </row>
    <row r="15" spans="1:8" x14ac:dyDescent="0.25">
      <c r="A15" s="1" t="s">
        <v>107</v>
      </c>
      <c r="B15" s="1" t="s">
        <v>11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26">
        <v>0</v>
      </c>
    </row>
    <row r="18" spans="1:8" ht="30" x14ac:dyDescent="0.25">
      <c r="A18" s="2" t="s">
        <v>47</v>
      </c>
      <c r="B18" s="24" t="s">
        <v>12</v>
      </c>
      <c r="C18" s="22" t="s">
        <v>1</v>
      </c>
      <c r="D18" s="22" t="s">
        <v>2</v>
      </c>
      <c r="E18" s="22" t="s">
        <v>3</v>
      </c>
      <c r="F18" s="22" t="s">
        <v>4</v>
      </c>
      <c r="G18" s="22" t="s">
        <v>5</v>
      </c>
      <c r="H18" s="22" t="s">
        <v>6</v>
      </c>
    </row>
    <row r="19" spans="1:8" x14ac:dyDescent="0.25">
      <c r="A19" s="1" t="s">
        <v>48</v>
      </c>
      <c r="B19" s="1" t="s">
        <v>7</v>
      </c>
      <c r="C19" s="3">
        <v>29044915.48</v>
      </c>
      <c r="D19" s="3">
        <f>27065364.5</f>
        <v>27065364.5</v>
      </c>
      <c r="E19" s="3">
        <v>26532417.379999999</v>
      </c>
      <c r="F19" s="3">
        <v>26580939.18</v>
      </c>
      <c r="G19" s="3">
        <v>27044595.960000001</v>
      </c>
      <c r="H19" s="3">
        <v>26404556.309999999</v>
      </c>
    </row>
    <row r="20" spans="1:8" x14ac:dyDescent="0.25">
      <c r="A20" s="1" t="s">
        <v>49</v>
      </c>
      <c r="B20" s="1" t="s">
        <v>8</v>
      </c>
      <c r="C20" s="3">
        <f>1267995.52+7245253.88</f>
        <v>8513249.4000000004</v>
      </c>
      <c r="D20" s="3">
        <f>1310421.97+7984732.23</f>
        <v>9295154.2000000011</v>
      </c>
      <c r="E20" s="3">
        <f>1424955.91+8497259.92</f>
        <v>9922215.8300000001</v>
      </c>
      <c r="F20" s="3">
        <f>1757788.76+8573579.43</f>
        <v>10331368.189999999</v>
      </c>
      <c r="G20" s="3">
        <f>2306215.44+8561130.49</f>
        <v>10867345.93</v>
      </c>
      <c r="H20" s="3">
        <f>1716346.47+8758575.81</f>
        <v>10474922.280000001</v>
      </c>
    </row>
    <row r="28" spans="1:8" x14ac:dyDescent="0.25">
      <c r="A28" s="2" t="s">
        <v>50</v>
      </c>
      <c r="B28" s="2" t="s">
        <v>14</v>
      </c>
      <c r="C28" s="2" t="s">
        <v>1</v>
      </c>
      <c r="D28" s="2" t="s">
        <v>2</v>
      </c>
      <c r="E28" s="2" t="s">
        <v>3</v>
      </c>
      <c r="F28" s="2" t="s">
        <v>4</v>
      </c>
      <c r="G28" s="2" t="s">
        <v>5</v>
      </c>
      <c r="H28" s="2" t="s">
        <v>6</v>
      </c>
    </row>
    <row r="29" spans="1:8" ht="28.5" customHeight="1" x14ac:dyDescent="0.25">
      <c r="A29" s="1" t="s">
        <v>51</v>
      </c>
      <c r="B29" s="4" t="s">
        <v>15</v>
      </c>
      <c r="C29" s="3">
        <f>89877.01</f>
        <v>89877.01</v>
      </c>
      <c r="D29" s="3">
        <f>59807.47</f>
        <v>59807.47</v>
      </c>
      <c r="E29" s="3">
        <v>-21441.24</v>
      </c>
      <c r="F29" s="25">
        <v>37231.96</v>
      </c>
      <c r="G29" s="25">
        <f>60165.34</f>
        <v>60165.34</v>
      </c>
      <c r="H29" s="3">
        <f>52162.68</f>
        <v>52162.68</v>
      </c>
    </row>
    <row r="30" spans="1:8" ht="28.5" customHeight="1" x14ac:dyDescent="0.25">
      <c r="A30" s="1" t="s">
        <v>52</v>
      </c>
      <c r="B30" s="4" t="s">
        <v>16</v>
      </c>
      <c r="C30" s="3">
        <f>5669.99+22513.92</f>
        <v>28183.909999999996</v>
      </c>
      <c r="D30" s="3">
        <f>4371.69+21617.35</f>
        <v>25989.039999999997</v>
      </c>
      <c r="E30" s="3">
        <v>-8772.08</v>
      </c>
      <c r="F30" s="25">
        <f>2215.23+10419.31</f>
        <v>12634.539999999999</v>
      </c>
      <c r="G30" s="25">
        <f>3395.79+18775.6</f>
        <v>22171.39</v>
      </c>
      <c r="H30" s="3">
        <f>3130.16+16926.47</f>
        <v>20056.63</v>
      </c>
    </row>
    <row r="31" spans="1:8" ht="28.5" customHeight="1" x14ac:dyDescent="0.25">
      <c r="A31" s="1" t="s">
        <v>53</v>
      </c>
      <c r="B31" s="5" t="s">
        <v>110</v>
      </c>
      <c r="C31" s="3">
        <f>26816.93</f>
        <v>26816.93</v>
      </c>
      <c r="D31" s="3">
        <f>26602.15</f>
        <v>26602.15</v>
      </c>
      <c r="E31" s="3">
        <f>37465.29+21.7</f>
        <v>37486.99</v>
      </c>
      <c r="F31" s="25">
        <f>50465.48+885</f>
        <v>51350.48</v>
      </c>
      <c r="G31" s="25">
        <f>47603.96+1000</f>
        <v>48603.96</v>
      </c>
      <c r="H31" s="3">
        <f>60128.81+6713.76</f>
        <v>66842.569999999992</v>
      </c>
    </row>
    <row r="33" spans="1:8" ht="26.25" x14ac:dyDescent="0.25">
      <c r="A33" s="6" t="s">
        <v>56</v>
      </c>
      <c r="B33" s="7" t="s">
        <v>17</v>
      </c>
      <c r="C33" s="8">
        <f t="shared" ref="C33:H33" si="0">SUBTOTAL(9,C34:C86)</f>
        <v>14847750.459999999</v>
      </c>
      <c r="D33" s="8">
        <f t="shared" si="0"/>
        <v>12758225.68</v>
      </c>
      <c r="E33" s="8">
        <f t="shared" si="0"/>
        <v>11402895.749999998</v>
      </c>
      <c r="F33" s="8">
        <f t="shared" si="0"/>
        <v>11076649.589999998</v>
      </c>
      <c r="G33" s="8">
        <f t="shared" si="0"/>
        <v>13244594.629999999</v>
      </c>
      <c r="H33" s="8">
        <f t="shared" si="0"/>
        <v>14306321.340000002</v>
      </c>
    </row>
    <row r="34" spans="1:8" ht="26.25" x14ac:dyDescent="0.25">
      <c r="A34" s="21" t="s">
        <v>57</v>
      </c>
      <c r="B34" s="9" t="s">
        <v>18</v>
      </c>
      <c r="C34" s="10">
        <f t="shared" ref="C34:H34" si="1">SUBTOTAL(9,C35:C37)</f>
        <v>605805.75</v>
      </c>
      <c r="D34" s="10">
        <f t="shared" si="1"/>
        <v>649324.41</v>
      </c>
      <c r="E34" s="10">
        <f t="shared" si="1"/>
        <v>613120.16999999993</v>
      </c>
      <c r="F34" s="10">
        <f t="shared" si="1"/>
        <v>604554.51</v>
      </c>
      <c r="G34" s="10">
        <f t="shared" si="1"/>
        <v>540747.62</v>
      </c>
      <c r="H34" s="10">
        <f t="shared" si="1"/>
        <v>1081645.67</v>
      </c>
    </row>
    <row r="35" spans="1:8" x14ac:dyDescent="0.25">
      <c r="A35" s="21" t="s">
        <v>58</v>
      </c>
      <c r="B35" s="11" t="s">
        <v>19</v>
      </c>
      <c r="C35" s="12">
        <v>346007.51</v>
      </c>
      <c r="D35" s="12">
        <v>407022.99</v>
      </c>
      <c r="E35" s="12">
        <v>330631.74</v>
      </c>
      <c r="F35" s="12">
        <v>348534.3</v>
      </c>
      <c r="G35" s="12">
        <v>357321.46</v>
      </c>
      <c r="H35" s="13">
        <v>845467.56</v>
      </c>
    </row>
    <row r="36" spans="1:8" x14ac:dyDescent="0.25">
      <c r="A36" s="21" t="s">
        <v>59</v>
      </c>
      <c r="B36" s="11" t="s">
        <v>20</v>
      </c>
      <c r="C36" s="12">
        <v>259798.24</v>
      </c>
      <c r="D36" s="12">
        <v>235101.42</v>
      </c>
      <c r="E36" s="12">
        <v>282488.43</v>
      </c>
      <c r="F36" s="12">
        <v>256020.21</v>
      </c>
      <c r="G36" s="12">
        <v>183426.16</v>
      </c>
      <c r="H36" s="13">
        <v>236178.11</v>
      </c>
    </row>
    <row r="37" spans="1:8" x14ac:dyDescent="0.25">
      <c r="A37" s="21" t="s">
        <v>60</v>
      </c>
      <c r="B37" s="11" t="s">
        <v>21</v>
      </c>
      <c r="C37" s="12">
        <v>0</v>
      </c>
      <c r="D37" s="12">
        <v>7200</v>
      </c>
      <c r="E37" s="12">
        <v>0</v>
      </c>
      <c r="F37" s="12">
        <v>0</v>
      </c>
      <c r="G37" s="12">
        <v>0</v>
      </c>
      <c r="H37" s="13">
        <v>0</v>
      </c>
    </row>
    <row r="38" spans="1:8" ht="26.25" x14ac:dyDescent="0.25">
      <c r="A38" s="21" t="s">
        <v>61</v>
      </c>
      <c r="B38" s="9" t="s">
        <v>22</v>
      </c>
      <c r="C38" s="10">
        <f t="shared" ref="C38:H38" si="2">SUBTOTAL(9,C39:C41)</f>
        <v>160760.35</v>
      </c>
      <c r="D38" s="10">
        <f t="shared" si="2"/>
        <v>228646.7</v>
      </c>
      <c r="E38" s="10">
        <f t="shared" si="2"/>
        <v>177817.48</v>
      </c>
      <c r="F38" s="10">
        <f t="shared" si="2"/>
        <v>163678.16</v>
      </c>
      <c r="G38" s="10">
        <f t="shared" si="2"/>
        <v>149278.73000000001</v>
      </c>
      <c r="H38" s="10">
        <f t="shared" si="2"/>
        <v>220184.92</v>
      </c>
    </row>
    <row r="39" spans="1:8" x14ac:dyDescent="0.25">
      <c r="A39" s="21" t="s">
        <v>62</v>
      </c>
      <c r="B39" s="11" t="s">
        <v>19</v>
      </c>
      <c r="C39" s="12">
        <v>110013.42</v>
      </c>
      <c r="D39" s="12">
        <v>151548.15</v>
      </c>
      <c r="E39" s="12">
        <v>152721.85</v>
      </c>
      <c r="F39" s="12">
        <v>111807.23</v>
      </c>
      <c r="G39" s="12">
        <v>109010.52</v>
      </c>
      <c r="H39" s="13">
        <v>185812.85</v>
      </c>
    </row>
    <row r="40" spans="1:8" x14ac:dyDescent="0.25">
      <c r="A40" s="21" t="s">
        <v>63</v>
      </c>
      <c r="B40" s="11" t="s">
        <v>20</v>
      </c>
      <c r="C40" s="14">
        <v>50746.93</v>
      </c>
      <c r="D40" s="12">
        <v>77098.55</v>
      </c>
      <c r="E40" s="14">
        <v>25095.63</v>
      </c>
      <c r="F40" s="14">
        <v>51870.93</v>
      </c>
      <c r="G40" s="14">
        <v>40268.21</v>
      </c>
      <c r="H40" s="13">
        <v>34372.07</v>
      </c>
    </row>
    <row r="41" spans="1:8" x14ac:dyDescent="0.25">
      <c r="A41" s="21" t="s">
        <v>64</v>
      </c>
      <c r="B41" s="11" t="s">
        <v>21</v>
      </c>
      <c r="C41" s="14">
        <v>0</v>
      </c>
      <c r="D41" s="12">
        <v>0</v>
      </c>
      <c r="E41" s="14">
        <v>0</v>
      </c>
      <c r="F41" s="14">
        <v>0</v>
      </c>
      <c r="G41" s="14">
        <v>0</v>
      </c>
      <c r="H41" s="13">
        <v>0</v>
      </c>
    </row>
    <row r="42" spans="1:8" ht="26.25" x14ac:dyDescent="0.25">
      <c r="A42" s="21" t="s">
        <v>65</v>
      </c>
      <c r="B42" s="9" t="s">
        <v>23</v>
      </c>
      <c r="C42" s="10">
        <f t="shared" ref="C42:H42" si="3">SUBTOTAL(9,C43:C45)</f>
        <v>91866.739999999991</v>
      </c>
      <c r="D42" s="10">
        <f t="shared" si="3"/>
        <v>111016.20999999999</v>
      </c>
      <c r="E42" s="10">
        <f t="shared" si="3"/>
        <v>86080.13</v>
      </c>
      <c r="F42" s="10">
        <f t="shared" si="3"/>
        <v>102512.93</v>
      </c>
      <c r="G42" s="10">
        <f t="shared" si="3"/>
        <v>78504.639999999999</v>
      </c>
      <c r="H42" s="10">
        <f t="shared" si="3"/>
        <v>85742.39</v>
      </c>
    </row>
    <row r="43" spans="1:8" x14ac:dyDescent="0.25">
      <c r="A43" s="21" t="s">
        <v>66</v>
      </c>
      <c r="B43" s="11" t="s">
        <v>19</v>
      </c>
      <c r="C43" s="14">
        <v>56403.1</v>
      </c>
      <c r="D43" s="12">
        <v>53290.68</v>
      </c>
      <c r="E43" s="14">
        <v>63032.81</v>
      </c>
      <c r="F43" s="14">
        <v>62107.3</v>
      </c>
      <c r="G43" s="14">
        <v>51241.66</v>
      </c>
      <c r="H43" s="13">
        <v>57215.78</v>
      </c>
    </row>
    <row r="44" spans="1:8" x14ac:dyDescent="0.25">
      <c r="A44" s="21" t="s">
        <v>67</v>
      </c>
      <c r="B44" s="11" t="s">
        <v>20</v>
      </c>
      <c r="C44" s="14">
        <v>35463.64</v>
      </c>
      <c r="D44" s="12">
        <v>57725.53</v>
      </c>
      <c r="E44" s="13">
        <v>23047.32</v>
      </c>
      <c r="F44" s="14">
        <v>40405.629999999997</v>
      </c>
      <c r="G44" s="14">
        <v>27262.98</v>
      </c>
      <c r="H44" s="13">
        <v>28526.61</v>
      </c>
    </row>
    <row r="45" spans="1:8" x14ac:dyDescent="0.25">
      <c r="A45" s="21" t="s">
        <v>68</v>
      </c>
      <c r="B45" s="11" t="s">
        <v>21</v>
      </c>
      <c r="C45" s="14">
        <v>0</v>
      </c>
      <c r="D45" s="12">
        <v>0</v>
      </c>
      <c r="E45" s="14">
        <v>0</v>
      </c>
      <c r="F45" s="14">
        <v>0</v>
      </c>
      <c r="G45" s="14">
        <v>0</v>
      </c>
      <c r="H45" s="13">
        <v>0</v>
      </c>
    </row>
    <row r="46" spans="1:8" ht="26.25" x14ac:dyDescent="0.25">
      <c r="A46" s="21" t="s">
        <v>69</v>
      </c>
      <c r="B46" s="4" t="s">
        <v>24</v>
      </c>
      <c r="C46" s="10">
        <f t="shared" ref="C46:H46" si="4">SUBTOTAL(9,C47:C49)</f>
        <v>96758.080000000002</v>
      </c>
      <c r="D46" s="10">
        <f t="shared" si="4"/>
        <v>118700.64</v>
      </c>
      <c r="E46" s="10">
        <f t="shared" si="4"/>
        <v>85057.18</v>
      </c>
      <c r="F46" s="10">
        <f t="shared" si="4"/>
        <v>122359.29999999999</v>
      </c>
      <c r="G46" s="10">
        <f t="shared" si="4"/>
        <v>86863.28</v>
      </c>
      <c r="H46" s="10">
        <f t="shared" si="4"/>
        <v>113103.59</v>
      </c>
    </row>
    <row r="47" spans="1:8" x14ac:dyDescent="0.25">
      <c r="A47" s="21" t="s">
        <v>70</v>
      </c>
      <c r="B47" s="11" t="s">
        <v>19</v>
      </c>
      <c r="C47" s="14">
        <v>59774.03</v>
      </c>
      <c r="D47" s="12">
        <v>58311.67</v>
      </c>
      <c r="E47" s="14">
        <v>58645.03</v>
      </c>
      <c r="F47" s="14">
        <v>61795.35</v>
      </c>
      <c r="G47" s="14">
        <v>54747.64</v>
      </c>
      <c r="H47" s="13">
        <v>83458.75</v>
      </c>
    </row>
    <row r="48" spans="1:8" x14ac:dyDescent="0.25">
      <c r="A48" s="21" t="s">
        <v>71</v>
      </c>
      <c r="B48" s="11" t="s">
        <v>20</v>
      </c>
      <c r="C48" s="14">
        <v>36984.050000000003</v>
      </c>
      <c r="D48" s="12">
        <v>58598.97</v>
      </c>
      <c r="E48" s="14">
        <v>26412.15</v>
      </c>
      <c r="F48" s="14">
        <v>60563.95</v>
      </c>
      <c r="G48" s="14">
        <v>32115.64</v>
      </c>
      <c r="H48" s="13">
        <v>29644.84</v>
      </c>
    </row>
    <row r="49" spans="1:8" x14ac:dyDescent="0.25">
      <c r="A49" s="21" t="s">
        <v>72</v>
      </c>
      <c r="B49" s="11" t="s">
        <v>21</v>
      </c>
      <c r="C49" s="14">
        <v>0</v>
      </c>
      <c r="D49" s="12">
        <v>1790</v>
      </c>
      <c r="E49" s="14">
        <v>0</v>
      </c>
      <c r="F49" s="14">
        <v>0</v>
      </c>
      <c r="G49" s="14">
        <v>0</v>
      </c>
      <c r="H49" s="13">
        <v>0</v>
      </c>
    </row>
    <row r="50" spans="1:8" ht="39" x14ac:dyDescent="0.25">
      <c r="A50" s="21" t="s">
        <v>73</v>
      </c>
      <c r="B50" s="4" t="s">
        <v>25</v>
      </c>
      <c r="C50" s="10">
        <f t="shared" ref="C50:H50" si="5">SUBTOTAL(9,C51:C53)</f>
        <v>91549.1</v>
      </c>
      <c r="D50" s="10">
        <f t="shared" si="5"/>
        <v>96885.67</v>
      </c>
      <c r="E50" s="10">
        <f t="shared" si="5"/>
        <v>87406.42</v>
      </c>
      <c r="F50" s="10">
        <f t="shared" si="5"/>
        <v>97601.919999999998</v>
      </c>
      <c r="G50" s="10">
        <f t="shared" si="5"/>
        <v>80821.489999999991</v>
      </c>
      <c r="H50" s="10">
        <f t="shared" si="5"/>
        <v>70060.289999999994</v>
      </c>
    </row>
    <row r="51" spans="1:8" x14ac:dyDescent="0.25">
      <c r="A51" s="21" t="s">
        <v>74</v>
      </c>
      <c r="B51" s="11" t="s">
        <v>19</v>
      </c>
      <c r="C51" s="14">
        <v>45943.11</v>
      </c>
      <c r="D51" s="12">
        <v>44554.84</v>
      </c>
      <c r="E51" s="14">
        <v>45973.49</v>
      </c>
      <c r="F51" s="14">
        <v>58231.11</v>
      </c>
      <c r="G51" s="14">
        <v>46353.56</v>
      </c>
      <c r="H51" s="13">
        <v>43253.49</v>
      </c>
    </row>
    <row r="52" spans="1:8" x14ac:dyDescent="0.25">
      <c r="A52" s="21" t="s">
        <v>75</v>
      </c>
      <c r="B52" s="11" t="s">
        <v>20</v>
      </c>
      <c r="C52" s="14">
        <v>45605.99</v>
      </c>
      <c r="D52" s="12">
        <v>52330.83</v>
      </c>
      <c r="E52" s="14">
        <v>41432.93</v>
      </c>
      <c r="F52" s="14">
        <v>39370.81</v>
      </c>
      <c r="G52" s="14">
        <v>34467.93</v>
      </c>
      <c r="H52" s="13">
        <v>26806.799999999999</v>
      </c>
    </row>
    <row r="53" spans="1:8" x14ac:dyDescent="0.25">
      <c r="A53" s="21" t="s">
        <v>76</v>
      </c>
      <c r="B53" s="11" t="s">
        <v>21</v>
      </c>
      <c r="C53" s="12">
        <v>0</v>
      </c>
      <c r="D53" s="15">
        <v>0</v>
      </c>
      <c r="E53" s="16">
        <v>0</v>
      </c>
      <c r="F53" s="16">
        <v>0</v>
      </c>
      <c r="G53" s="14">
        <v>0</v>
      </c>
      <c r="H53" s="17">
        <v>0</v>
      </c>
    </row>
    <row r="54" spans="1:8" ht="39" x14ac:dyDescent="0.25">
      <c r="A54" s="21" t="s">
        <v>77</v>
      </c>
      <c r="B54" s="9" t="s">
        <v>26</v>
      </c>
      <c r="C54" s="10">
        <f t="shared" ref="C54:H54" si="6">SUBTOTAL(9,C55:C57)</f>
        <v>87353.33</v>
      </c>
      <c r="D54" s="10">
        <f t="shared" si="6"/>
        <v>80162.19</v>
      </c>
      <c r="E54" s="10">
        <f t="shared" si="6"/>
        <v>82904.149999999994</v>
      </c>
      <c r="F54" s="10">
        <f t="shared" si="6"/>
        <v>68300.83</v>
      </c>
      <c r="G54" s="10">
        <f t="shared" si="6"/>
        <v>81432.160000000003</v>
      </c>
      <c r="H54" s="10">
        <f t="shared" si="6"/>
        <v>70567.959999999992</v>
      </c>
    </row>
    <row r="55" spans="1:8" x14ac:dyDescent="0.25">
      <c r="A55" s="21" t="s">
        <v>78</v>
      </c>
      <c r="B55" s="11" t="s">
        <v>19</v>
      </c>
      <c r="C55" s="14">
        <v>63319.17</v>
      </c>
      <c r="D55" s="12">
        <v>58145.64</v>
      </c>
      <c r="E55" s="14">
        <v>63315.76</v>
      </c>
      <c r="F55" s="14">
        <v>58660.15</v>
      </c>
      <c r="G55" s="14">
        <v>67681.33</v>
      </c>
      <c r="H55" s="13">
        <v>58453.17</v>
      </c>
    </row>
    <row r="56" spans="1:8" x14ac:dyDescent="0.25">
      <c r="A56" s="21" t="s">
        <v>79</v>
      </c>
      <c r="B56" s="11" t="s">
        <v>20</v>
      </c>
      <c r="C56" s="14">
        <v>24034.16</v>
      </c>
      <c r="D56" s="12">
        <v>22016.55</v>
      </c>
      <c r="E56" s="14">
        <v>19588.39</v>
      </c>
      <c r="F56" s="14">
        <v>9640.68</v>
      </c>
      <c r="G56" s="14">
        <v>13750.83</v>
      </c>
      <c r="H56" s="13">
        <v>12114.79</v>
      </c>
    </row>
    <row r="57" spans="1:8" x14ac:dyDescent="0.25">
      <c r="A57" s="21" t="s">
        <v>80</v>
      </c>
      <c r="B57" s="11" t="s">
        <v>21</v>
      </c>
      <c r="C57" s="14">
        <v>0</v>
      </c>
      <c r="D57" s="12">
        <v>0</v>
      </c>
      <c r="E57" s="14">
        <v>0</v>
      </c>
      <c r="F57" s="14">
        <v>0</v>
      </c>
      <c r="G57" s="14">
        <v>0</v>
      </c>
      <c r="H57" s="13">
        <v>0</v>
      </c>
    </row>
    <row r="58" spans="1:8" ht="55.5" customHeight="1" x14ac:dyDescent="0.25">
      <c r="A58" s="21" t="s">
        <v>81</v>
      </c>
      <c r="B58" s="4" t="s">
        <v>27</v>
      </c>
      <c r="C58" s="10">
        <f t="shared" ref="C58:H58" si="7">SUBTOTAL(9,C59:C61)</f>
        <v>364096.95</v>
      </c>
      <c r="D58" s="10">
        <f t="shared" si="7"/>
        <v>731097.3</v>
      </c>
      <c r="E58" s="10">
        <f t="shared" si="7"/>
        <v>628535.27</v>
      </c>
      <c r="F58" s="10">
        <f t="shared" si="7"/>
        <v>382158.08000000002</v>
      </c>
      <c r="G58" s="10">
        <f t="shared" si="7"/>
        <v>590816.33000000007</v>
      </c>
      <c r="H58" s="10">
        <f t="shared" si="7"/>
        <v>2178135.89</v>
      </c>
    </row>
    <row r="59" spans="1:8" x14ac:dyDescent="0.25">
      <c r="A59" s="21" t="s">
        <v>82</v>
      </c>
      <c r="B59" s="11" t="s">
        <v>19</v>
      </c>
      <c r="C59" s="14">
        <v>175003.51</v>
      </c>
      <c r="D59" s="12">
        <v>215532.31</v>
      </c>
      <c r="E59" s="14">
        <v>176863.43</v>
      </c>
      <c r="F59" s="14">
        <v>229776.69</v>
      </c>
      <c r="G59" s="14">
        <v>181036.89</v>
      </c>
      <c r="H59" s="13">
        <v>226406.54</v>
      </c>
    </row>
    <row r="60" spans="1:8" x14ac:dyDescent="0.25">
      <c r="A60" s="21" t="s">
        <v>83</v>
      </c>
      <c r="B60" s="11" t="s">
        <v>20</v>
      </c>
      <c r="C60" s="14">
        <v>189093.44</v>
      </c>
      <c r="D60" s="12">
        <v>515564.99</v>
      </c>
      <c r="E60" s="14">
        <v>451671.84</v>
      </c>
      <c r="F60" s="14">
        <v>152381.39000000001</v>
      </c>
      <c r="G60" s="14">
        <v>409779.44</v>
      </c>
      <c r="H60" s="13">
        <v>1951729.35</v>
      </c>
    </row>
    <row r="61" spans="1:8" x14ac:dyDescent="0.25">
      <c r="A61" s="21" t="s">
        <v>84</v>
      </c>
      <c r="B61" s="11" t="s">
        <v>21</v>
      </c>
      <c r="C61" s="14">
        <v>0</v>
      </c>
      <c r="D61" s="12">
        <v>0</v>
      </c>
      <c r="E61" s="14">
        <v>0</v>
      </c>
      <c r="F61" s="14">
        <v>0</v>
      </c>
      <c r="G61" s="14">
        <v>0</v>
      </c>
      <c r="H61" s="13">
        <v>0</v>
      </c>
    </row>
    <row r="62" spans="1:8" ht="26.25" x14ac:dyDescent="0.25">
      <c r="A62" s="21" t="s">
        <v>85</v>
      </c>
      <c r="B62" s="9" t="s">
        <v>28</v>
      </c>
      <c r="C62" s="10">
        <f t="shared" ref="C62:H62" si="8">SUBTOTAL(9,C63:C65)</f>
        <v>261564.05</v>
      </c>
      <c r="D62" s="10">
        <f t="shared" si="8"/>
        <v>276004.17</v>
      </c>
      <c r="E62" s="10">
        <f t="shared" si="8"/>
        <v>236382.08000000002</v>
      </c>
      <c r="F62" s="10">
        <f t="shared" si="8"/>
        <v>239266.05</v>
      </c>
      <c r="G62" s="10">
        <f t="shared" si="8"/>
        <v>229310.48</v>
      </c>
      <c r="H62" s="10">
        <f t="shared" si="8"/>
        <v>230166.99</v>
      </c>
    </row>
    <row r="63" spans="1:8" x14ac:dyDescent="0.25">
      <c r="A63" s="21" t="s">
        <v>86</v>
      </c>
      <c r="B63" s="11" t="s">
        <v>19</v>
      </c>
      <c r="C63" s="12">
        <v>140459.57</v>
      </c>
      <c r="D63" s="15">
        <v>149206.09</v>
      </c>
      <c r="E63" s="15">
        <v>135315.97</v>
      </c>
      <c r="F63" s="16">
        <v>146864.22</v>
      </c>
      <c r="G63" s="14">
        <v>147148.48000000001</v>
      </c>
      <c r="H63" s="17">
        <v>137721.1</v>
      </c>
    </row>
    <row r="64" spans="1:8" x14ac:dyDescent="0.25">
      <c r="A64" s="21" t="s">
        <v>87</v>
      </c>
      <c r="B64" s="11" t="s">
        <v>20</v>
      </c>
      <c r="C64" s="12">
        <v>121104.48</v>
      </c>
      <c r="D64" s="15">
        <v>122948.08</v>
      </c>
      <c r="E64" s="15">
        <v>101066.11</v>
      </c>
      <c r="F64" s="16">
        <v>92401.83</v>
      </c>
      <c r="G64" s="14">
        <v>82162</v>
      </c>
      <c r="H64" s="17">
        <v>92445.89</v>
      </c>
    </row>
    <row r="65" spans="1:8" x14ac:dyDescent="0.25">
      <c r="A65" s="21" t="s">
        <v>88</v>
      </c>
      <c r="B65" s="11" t="s">
        <v>21</v>
      </c>
      <c r="C65" s="12">
        <v>0</v>
      </c>
      <c r="D65" s="15">
        <v>3850</v>
      </c>
      <c r="E65" s="15">
        <v>0</v>
      </c>
      <c r="F65" s="16">
        <v>0</v>
      </c>
      <c r="G65" s="14">
        <v>0</v>
      </c>
      <c r="H65" s="17">
        <v>0</v>
      </c>
    </row>
    <row r="66" spans="1:8" ht="26.25" x14ac:dyDescent="0.25">
      <c r="A66" s="21" t="s">
        <v>89</v>
      </c>
      <c r="B66" s="4" t="s">
        <v>29</v>
      </c>
      <c r="C66" s="10">
        <f t="shared" ref="C66:H66" si="9">SUBTOTAL(9,C67:C68)</f>
        <v>0</v>
      </c>
      <c r="D66" s="10">
        <f t="shared" si="9"/>
        <v>850</v>
      </c>
      <c r="E66" s="10">
        <f t="shared" si="9"/>
        <v>0</v>
      </c>
      <c r="F66" s="10">
        <f t="shared" si="9"/>
        <v>0</v>
      </c>
      <c r="G66" s="10">
        <f t="shared" si="9"/>
        <v>0</v>
      </c>
      <c r="H66" s="10">
        <f t="shared" si="9"/>
        <v>0</v>
      </c>
    </row>
    <row r="67" spans="1:8" x14ac:dyDescent="0.25">
      <c r="A67" s="21" t="s">
        <v>90</v>
      </c>
      <c r="B67" s="11" t="s">
        <v>19</v>
      </c>
      <c r="C67" s="12">
        <v>0</v>
      </c>
      <c r="D67" s="12">
        <v>850</v>
      </c>
      <c r="E67" s="14">
        <v>0</v>
      </c>
      <c r="F67" s="18">
        <v>0</v>
      </c>
      <c r="G67" s="14">
        <v>0</v>
      </c>
      <c r="H67" s="13">
        <v>0</v>
      </c>
    </row>
    <row r="68" spans="1:8" x14ac:dyDescent="0.25">
      <c r="A68" s="21" t="s">
        <v>54</v>
      </c>
      <c r="B68" s="11" t="s">
        <v>20</v>
      </c>
      <c r="C68" s="12">
        <v>0</v>
      </c>
      <c r="D68" s="12">
        <v>0</v>
      </c>
      <c r="E68" s="14">
        <v>0</v>
      </c>
      <c r="F68" s="18">
        <v>0</v>
      </c>
      <c r="G68" s="14">
        <v>0</v>
      </c>
      <c r="H68" s="13">
        <v>0</v>
      </c>
    </row>
    <row r="69" spans="1:8" x14ac:dyDescent="0.25">
      <c r="A69" s="21" t="s">
        <v>91</v>
      </c>
      <c r="B69" s="4" t="s">
        <v>30</v>
      </c>
      <c r="C69" s="10">
        <f t="shared" ref="C69:H69" si="10">SUBTOTAL(9,C70:C71)</f>
        <v>1089789.3599999999</v>
      </c>
      <c r="D69" s="10">
        <f t="shared" si="10"/>
        <v>1236615.8500000001</v>
      </c>
      <c r="E69" s="10">
        <f t="shared" si="10"/>
        <v>26000</v>
      </c>
      <c r="F69" s="10">
        <f t="shared" si="10"/>
        <v>0</v>
      </c>
      <c r="G69" s="10">
        <f t="shared" si="10"/>
        <v>0</v>
      </c>
      <c r="H69" s="10">
        <f t="shared" si="10"/>
        <v>0</v>
      </c>
    </row>
    <row r="70" spans="1:8" x14ac:dyDescent="0.25">
      <c r="A70" s="21" t="s">
        <v>92</v>
      </c>
      <c r="B70" s="11" t="s">
        <v>19</v>
      </c>
      <c r="C70" s="12">
        <v>20246.88</v>
      </c>
      <c r="D70" s="12">
        <v>204</v>
      </c>
      <c r="E70" s="14">
        <v>0</v>
      </c>
      <c r="F70" s="18">
        <v>0</v>
      </c>
      <c r="G70" s="14">
        <v>0</v>
      </c>
      <c r="H70" s="13">
        <v>0</v>
      </c>
    </row>
    <row r="71" spans="1:8" x14ac:dyDescent="0.25">
      <c r="A71" s="21" t="s">
        <v>93</v>
      </c>
      <c r="B71" s="11" t="s">
        <v>20</v>
      </c>
      <c r="C71" s="12">
        <v>1069542.48</v>
      </c>
      <c r="D71" s="12">
        <v>1236411.8500000001</v>
      </c>
      <c r="E71" s="14">
        <v>26000</v>
      </c>
      <c r="F71" s="18">
        <v>0</v>
      </c>
      <c r="G71" s="14">
        <v>0</v>
      </c>
      <c r="H71" s="13">
        <v>0</v>
      </c>
    </row>
    <row r="72" spans="1:8" x14ac:dyDescent="0.25">
      <c r="A72" s="21" t="s">
        <v>94</v>
      </c>
      <c r="B72" s="4" t="s">
        <v>31</v>
      </c>
      <c r="C72" s="10">
        <f t="shared" ref="C72:H72" si="11">SUBTOTAL(9,C73:C77)</f>
        <v>2816387.9899999998</v>
      </c>
      <c r="D72" s="10">
        <f t="shared" si="11"/>
        <v>1530610.59</v>
      </c>
      <c r="E72" s="10">
        <f t="shared" si="11"/>
        <v>1094337.1400000001</v>
      </c>
      <c r="F72" s="10">
        <f t="shared" si="11"/>
        <v>928956.46000000008</v>
      </c>
      <c r="G72" s="10">
        <f t="shared" si="11"/>
        <v>2052203.62</v>
      </c>
      <c r="H72" s="10">
        <f t="shared" si="11"/>
        <v>1289792.31</v>
      </c>
    </row>
    <row r="73" spans="1:8" x14ac:dyDescent="0.25">
      <c r="A73" s="21" t="s">
        <v>55</v>
      </c>
      <c r="B73" s="11" t="s">
        <v>19</v>
      </c>
      <c r="C73" s="12">
        <v>75125.27</v>
      </c>
      <c r="D73" s="12">
        <v>115692.18</v>
      </c>
      <c r="E73" s="14">
        <v>61498.59</v>
      </c>
      <c r="F73" s="18">
        <v>70229.320000000007</v>
      </c>
      <c r="G73" s="14">
        <v>56210.83</v>
      </c>
      <c r="H73" s="13">
        <v>66805.22</v>
      </c>
    </row>
    <row r="74" spans="1:8" x14ac:dyDescent="0.25">
      <c r="A74" s="21" t="s">
        <v>95</v>
      </c>
      <c r="B74" s="11" t="s">
        <v>32</v>
      </c>
      <c r="C74" s="12">
        <f>2695892.53</f>
        <v>2695892.53</v>
      </c>
      <c r="D74" s="15">
        <v>1369160.68</v>
      </c>
      <c r="E74" s="14">
        <v>987018.35</v>
      </c>
      <c r="F74" s="18">
        <v>813574.5</v>
      </c>
      <c r="G74" s="14">
        <v>1949145.38</v>
      </c>
      <c r="H74" s="13">
        <v>1181498.6399999999</v>
      </c>
    </row>
    <row r="75" spans="1:8" x14ac:dyDescent="0.25">
      <c r="A75" s="21" t="s">
        <v>96</v>
      </c>
      <c r="B75" s="11" t="s">
        <v>20</v>
      </c>
      <c r="C75" s="12">
        <f>5319.58</f>
        <v>5319.58</v>
      </c>
      <c r="D75" s="13">
        <v>5707.12</v>
      </c>
      <c r="E75" s="13">
        <v>5769.59</v>
      </c>
      <c r="F75" s="19">
        <f>700+4402.03</f>
        <v>5102.03</v>
      </c>
      <c r="G75" s="13">
        <f>1000+5796.8</f>
        <v>6796.8</v>
      </c>
      <c r="H75" s="13">
        <f>2545.43+5050.66</f>
        <v>7596.09</v>
      </c>
    </row>
    <row r="76" spans="1:8" ht="26.25" x14ac:dyDescent="0.25">
      <c r="A76" s="21" t="s">
        <v>105</v>
      </c>
      <c r="B76" s="11" t="s">
        <v>33</v>
      </c>
      <c r="C76" s="12">
        <v>40050.61</v>
      </c>
      <c r="D76" s="12">
        <v>40050.61</v>
      </c>
      <c r="E76" s="14">
        <v>40050.61</v>
      </c>
      <c r="F76" s="18">
        <v>40050.61</v>
      </c>
      <c r="G76" s="14">
        <v>40050.61</v>
      </c>
      <c r="H76" s="13">
        <v>33892.36</v>
      </c>
    </row>
    <row r="77" spans="1:8" x14ac:dyDescent="0.25">
      <c r="A77" s="21" t="s">
        <v>108</v>
      </c>
      <c r="B77" s="11" t="s">
        <v>21</v>
      </c>
      <c r="C77" s="14">
        <v>0</v>
      </c>
      <c r="D77" s="12">
        <v>0</v>
      </c>
      <c r="E77" s="14">
        <v>0</v>
      </c>
      <c r="F77" s="18">
        <v>0</v>
      </c>
      <c r="G77" s="14">
        <v>0</v>
      </c>
      <c r="H77" s="13">
        <v>0</v>
      </c>
    </row>
    <row r="78" spans="1:8" x14ac:dyDescent="0.25">
      <c r="A78" s="21" t="s">
        <v>97</v>
      </c>
      <c r="B78" s="4" t="s">
        <v>34</v>
      </c>
      <c r="C78" s="10">
        <f t="shared" ref="C78:H78" si="12">SUBTOTAL(9,C79:C82)</f>
        <v>7870062.6899999995</v>
      </c>
      <c r="D78" s="10">
        <f t="shared" si="12"/>
        <v>6355856.5499999989</v>
      </c>
      <c r="E78" s="10">
        <f t="shared" si="12"/>
        <v>6673628.1799999997</v>
      </c>
      <c r="F78" s="10">
        <f t="shared" si="12"/>
        <v>6828748.3600000003</v>
      </c>
      <c r="G78" s="10">
        <f t="shared" si="12"/>
        <v>6563050.96</v>
      </c>
      <c r="H78" s="10">
        <f t="shared" si="12"/>
        <v>7339890.0699999994</v>
      </c>
    </row>
    <row r="79" spans="1:8" x14ac:dyDescent="0.25">
      <c r="A79" s="21" t="s">
        <v>98</v>
      </c>
      <c r="B79" s="11" t="s">
        <v>19</v>
      </c>
      <c r="C79" s="12">
        <v>227858.91</v>
      </c>
      <c r="D79" s="12">
        <v>213124.18</v>
      </c>
      <c r="E79" s="14">
        <v>201987.81</v>
      </c>
      <c r="F79" s="18">
        <v>230077.9</v>
      </c>
      <c r="G79" s="14">
        <v>216460.47</v>
      </c>
      <c r="H79" s="13">
        <v>198868.51</v>
      </c>
    </row>
    <row r="80" spans="1:8" ht="26.25" x14ac:dyDescent="0.25">
      <c r="A80" s="21" t="s">
        <v>99</v>
      </c>
      <c r="B80" s="11" t="s">
        <v>35</v>
      </c>
      <c r="C80" s="12">
        <v>7617471.8899999997</v>
      </c>
      <c r="D80" s="15">
        <v>6098933.2699999996</v>
      </c>
      <c r="E80" s="14">
        <v>6441316.5899999999</v>
      </c>
      <c r="F80" s="18">
        <v>6564029.0199999996</v>
      </c>
      <c r="G80" s="14">
        <v>6319067.2000000002</v>
      </c>
      <c r="H80" s="13">
        <v>7114018.0999999996</v>
      </c>
    </row>
    <row r="81" spans="1:8" x14ac:dyDescent="0.25">
      <c r="A81" s="21" t="s">
        <v>100</v>
      </c>
      <c r="B81" s="11" t="s">
        <v>20</v>
      </c>
      <c r="C81" s="12">
        <v>24731.89</v>
      </c>
      <c r="D81" s="12">
        <v>43799.1</v>
      </c>
      <c r="E81" s="13">
        <v>30323.78</v>
      </c>
      <c r="F81" s="19">
        <f>32016.44+2625</f>
        <v>34641.440000000002</v>
      </c>
      <c r="G81" s="13">
        <v>27523.29</v>
      </c>
      <c r="H81" s="13">
        <v>27003.46</v>
      </c>
    </row>
    <row r="82" spans="1:8" x14ac:dyDescent="0.25">
      <c r="A82" s="21" t="s">
        <v>109</v>
      </c>
      <c r="B82" s="11" t="s">
        <v>21</v>
      </c>
      <c r="C82" s="14">
        <v>0</v>
      </c>
      <c r="D82" s="12">
        <v>0</v>
      </c>
      <c r="E82" s="13">
        <v>0</v>
      </c>
      <c r="F82" s="19">
        <v>0</v>
      </c>
      <c r="G82" s="13">
        <v>0</v>
      </c>
      <c r="H82" s="13">
        <v>0</v>
      </c>
    </row>
    <row r="83" spans="1:8" x14ac:dyDescent="0.25">
      <c r="A83" s="21" t="s">
        <v>101</v>
      </c>
      <c r="B83" s="4" t="s">
        <v>36</v>
      </c>
      <c r="C83" s="10">
        <f t="shared" ref="C83:H83" si="13">SUBTOTAL(9,C84:C86)</f>
        <v>1311756.07</v>
      </c>
      <c r="D83" s="10">
        <f t="shared" si="13"/>
        <v>1342455.4000000001</v>
      </c>
      <c r="E83" s="10">
        <f t="shared" si="13"/>
        <v>1611627.5499999998</v>
      </c>
      <c r="F83" s="10">
        <f t="shared" si="13"/>
        <v>1538512.99</v>
      </c>
      <c r="G83" s="10">
        <f t="shared" si="13"/>
        <v>2791565.32</v>
      </c>
      <c r="H83" s="10">
        <f t="shared" si="13"/>
        <v>1627031.2600000002</v>
      </c>
    </row>
    <row r="84" spans="1:8" x14ac:dyDescent="0.25">
      <c r="A84" s="21" t="s">
        <v>102</v>
      </c>
      <c r="B84" s="11" t="s">
        <v>19</v>
      </c>
      <c r="C84" s="12">
        <v>1096984.03</v>
      </c>
      <c r="D84" s="12">
        <v>1115384.07</v>
      </c>
      <c r="E84" s="12">
        <v>1106724.7</v>
      </c>
      <c r="F84" s="20">
        <v>1279898.21</v>
      </c>
      <c r="G84" s="12">
        <v>1264968.6499999999</v>
      </c>
      <c r="H84" s="13">
        <v>1093708.8600000001</v>
      </c>
    </row>
    <row r="85" spans="1:8" x14ac:dyDescent="0.25">
      <c r="A85" s="21" t="s">
        <v>103</v>
      </c>
      <c r="B85" s="11" t="s">
        <v>20</v>
      </c>
      <c r="C85" s="12">
        <v>209672.04</v>
      </c>
      <c r="D85" s="13">
        <v>197071.33</v>
      </c>
      <c r="E85" s="13">
        <v>203001.49</v>
      </c>
      <c r="F85" s="19">
        <v>171375.58</v>
      </c>
      <c r="G85" s="13">
        <v>195203.7</v>
      </c>
      <c r="H85" s="13">
        <v>161231.51</v>
      </c>
    </row>
    <row r="86" spans="1:8" x14ac:dyDescent="0.25">
      <c r="A86" s="21" t="s">
        <v>104</v>
      </c>
      <c r="B86" s="11" t="s">
        <v>21</v>
      </c>
      <c r="C86" s="12">
        <v>5100</v>
      </c>
      <c r="D86" s="13">
        <v>30000</v>
      </c>
      <c r="E86" s="13">
        <v>301901.36</v>
      </c>
      <c r="F86" s="19">
        <v>87239.2</v>
      </c>
      <c r="G86" s="13">
        <v>1331392.97</v>
      </c>
      <c r="H86" s="13">
        <v>372090.89</v>
      </c>
    </row>
  </sheetData>
  <mergeCells count="1">
    <mergeCell ref="A1:H1"/>
  </mergeCells>
  <phoneticPr fontId="4" type="noConversion"/>
  <pageMargins left="0.29166666666666669" right="0.26041666666666669" top="1.5625" bottom="0.58493589743589747" header="0.31496062000000002" footer="0.31496062000000002"/>
  <pageSetup paperSize="9" orientation="landscape" horizontalDpi="0" verticalDpi="0" r:id="rId1"/>
  <headerFooter>
    <oddHeader xml:space="preserve">&amp;C&amp;G&amp;R&amp;10Contrato de Gestão 001/2011 - SEAD / OVG
Relatório Mensal Comparativo
Regime de Apuração 2020
</oddHeader>
    <oddFooter>&amp;C&amp;10&amp;P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Barsanulfo da Silva</dc:creator>
  <cp:lastModifiedBy>Renata Ferreira dos Santos</cp:lastModifiedBy>
  <cp:lastPrinted>2021-10-08T20:31:11Z</cp:lastPrinted>
  <dcterms:created xsi:type="dcterms:W3CDTF">2021-07-12T21:39:46Z</dcterms:created>
  <dcterms:modified xsi:type="dcterms:W3CDTF">2021-10-14T18:47:45Z</dcterms:modified>
</cp:coreProperties>
</file>