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10.237.1.1\gecmi\GECMI 2022\Publicações site OVG\GEPG\"/>
    </mc:Choice>
  </mc:AlternateContent>
  <xr:revisionPtr revIDLastSave="0" documentId="8_{4BE1A5DA-20DC-4C61-953A-60C14F6B58D6}" xr6:coauthVersionLast="47" xr6:coauthVersionMax="47" xr10:uidLastSave="{00000000-0000-0000-0000-000000000000}"/>
  <bookViews>
    <workbookView xWindow="-120" yWindow="-120" windowWidth="24240" windowHeight="13140" tabRatio="692" firstSheet="3" activeTab="3" xr2:uid="{00000000-000D-0000-FFFF-FFFF00000000}"/>
  </bookViews>
  <sheets>
    <sheet name="PLANEJADO" sheetId="34" r:id="rId1"/>
    <sheet name="REALIZADO" sheetId="35" r:id="rId2"/>
    <sheet name="ÍNDICE" sheetId="37" r:id="rId3"/>
    <sheet name="NOTAS EXPLICATIVAS" sheetId="38" r:id="rId4"/>
    <sheet name="Plan2" sheetId="26" state="hidden" r:id="rId5"/>
    <sheet name="Planilha1" sheetId="27" state="hidden" r:id="rId6"/>
    <sheet name="Planilha2" sheetId="28" state="hidden" r:id="rId7"/>
  </sheets>
  <definedNames>
    <definedName name="__xlnm_Print_Area_1">#REF!</definedName>
    <definedName name="_xlnm.Print_Area" localSheetId="2">ÍNDICE!$A$1:$T$52</definedName>
    <definedName name="_xlnm.Print_Titles" localSheetId="0">PLANEJADO!$1:$3</definedName>
    <definedName name="_xlnm.Print_Titles" localSheetId="1">REALIZADO!$1:$3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2" i="37" l="1"/>
  <c r="K30" i="37"/>
  <c r="K26" i="37"/>
  <c r="K25" i="37"/>
  <c r="K24" i="37"/>
  <c r="K23" i="37"/>
  <c r="K31" i="37" s="1"/>
  <c r="K21" i="37"/>
  <c r="K20" i="37"/>
  <c r="K19" i="37"/>
  <c r="K18" i="37"/>
  <c r="K17" i="37"/>
  <c r="K16" i="37"/>
  <c r="K22" i="37" s="1"/>
  <c r="K14" i="37"/>
  <c r="K13" i="37"/>
  <c r="K15" i="37"/>
  <c r="K5" i="37"/>
  <c r="K6" i="37"/>
  <c r="K7" i="37"/>
  <c r="K8" i="37"/>
  <c r="K9" i="37"/>
  <c r="K10" i="37"/>
  <c r="K11" i="37"/>
  <c r="K4" i="37"/>
  <c r="K12" i="37" s="1"/>
  <c r="F30" i="37"/>
  <c r="F32" i="37"/>
  <c r="F29" i="37"/>
  <c r="F28" i="37"/>
  <c r="F27" i="37"/>
  <c r="F25" i="37"/>
  <c r="F24" i="37"/>
  <c r="F23" i="37"/>
  <c r="F31" i="37" s="1"/>
  <c r="F21" i="37"/>
  <c r="F20" i="37"/>
  <c r="F14" i="37"/>
  <c r="F16" i="37"/>
  <c r="F17" i="37"/>
  <c r="F18" i="37"/>
  <c r="F13" i="37"/>
  <c r="F5" i="37"/>
  <c r="F6" i="37"/>
  <c r="F7" i="37"/>
  <c r="F8" i="37"/>
  <c r="F9" i="37"/>
  <c r="F10" i="37"/>
  <c r="F11" i="37"/>
  <c r="F4" i="37"/>
  <c r="F12" i="37" s="1"/>
  <c r="E4" i="37"/>
  <c r="J4" i="37"/>
  <c r="E5" i="37"/>
  <c r="J5" i="37"/>
  <c r="E6" i="37"/>
  <c r="J6" i="37"/>
  <c r="E7" i="37"/>
  <c r="J7" i="37"/>
  <c r="E8" i="37"/>
  <c r="J8" i="37"/>
  <c r="E9" i="37"/>
  <c r="J9" i="37"/>
  <c r="E10" i="37"/>
  <c r="J10" i="37"/>
  <c r="E11" i="37"/>
  <c r="J11" i="37"/>
  <c r="N4" i="34"/>
  <c r="X2" i="37"/>
  <c r="X3" i="37"/>
  <c r="X4" i="37" s="1"/>
  <c r="K33" i="37"/>
  <c r="F33" i="37"/>
  <c r="P32" i="35"/>
  <c r="P30" i="35"/>
  <c r="P21" i="35"/>
  <c r="P20" i="35"/>
  <c r="P14" i="35"/>
  <c r="P13" i="35"/>
  <c r="P11" i="35"/>
  <c r="P10" i="35"/>
  <c r="Q9" i="35"/>
  <c r="Q8" i="35"/>
  <c r="R32" i="35"/>
  <c r="R30" i="35"/>
  <c r="R26" i="35"/>
  <c r="R21" i="35"/>
  <c r="R20" i="35"/>
  <c r="R14" i="35"/>
  <c r="R13" i="35"/>
  <c r="R11" i="35"/>
  <c r="R10" i="35"/>
  <c r="R9" i="35"/>
  <c r="R8" i="35"/>
  <c r="Q26" i="35"/>
  <c r="M26" i="37"/>
  <c r="Q32" i="35"/>
  <c r="Q30" i="35"/>
  <c r="Q21" i="35"/>
  <c r="Q20" i="35"/>
  <c r="Q14" i="35"/>
  <c r="Q13" i="35"/>
  <c r="Q11" i="35"/>
  <c r="Q10" i="35"/>
  <c r="R25" i="35"/>
  <c r="R24" i="35"/>
  <c r="R23" i="35"/>
  <c r="R19" i="35"/>
  <c r="R18" i="35"/>
  <c r="R17" i="35"/>
  <c r="R16" i="35"/>
  <c r="R7" i="35"/>
  <c r="R6" i="35"/>
  <c r="R5" i="35"/>
  <c r="R4" i="35"/>
  <c r="Q25" i="35"/>
  <c r="Q24" i="35"/>
  <c r="Q23" i="35"/>
  <c r="Q19" i="35"/>
  <c r="Q18" i="35"/>
  <c r="Q17" i="35"/>
  <c r="Q16" i="35"/>
  <c r="Q7" i="35"/>
  <c r="Q6" i="35"/>
  <c r="Q5" i="35"/>
  <c r="Q4" i="35"/>
  <c r="P29" i="35"/>
  <c r="P28" i="35"/>
  <c r="P27" i="35"/>
  <c r="P25" i="35"/>
  <c r="P24" i="35"/>
  <c r="P23" i="35"/>
  <c r="P19" i="35"/>
  <c r="P18" i="35"/>
  <c r="P17" i="35"/>
  <c r="P16" i="35"/>
  <c r="P9" i="35"/>
  <c r="P8" i="35"/>
  <c r="P7" i="35"/>
  <c r="P6" i="35"/>
  <c r="P5" i="35"/>
  <c r="P4" i="35"/>
  <c r="O32" i="35"/>
  <c r="O30" i="35"/>
  <c r="O29" i="35"/>
  <c r="O28" i="35"/>
  <c r="O27" i="35"/>
  <c r="H27" i="37"/>
  <c r="O24" i="35"/>
  <c r="O25" i="35"/>
  <c r="O23" i="35"/>
  <c r="O21" i="35"/>
  <c r="O20" i="35"/>
  <c r="O17" i="35"/>
  <c r="O18" i="35"/>
  <c r="O19" i="35"/>
  <c r="O16" i="35"/>
  <c r="O14" i="35"/>
  <c r="O13" i="35"/>
  <c r="O11" i="35"/>
  <c r="O10" i="35"/>
  <c r="O9" i="35"/>
  <c r="O8" i="35"/>
  <c r="O5" i="35"/>
  <c r="O6" i="35"/>
  <c r="O7" i="35"/>
  <c r="O4" i="35"/>
  <c r="O32" i="34"/>
  <c r="L32" i="37"/>
  <c r="L33" i="37"/>
  <c r="O30" i="34"/>
  <c r="L30" i="37"/>
  <c r="O26" i="34"/>
  <c r="L26" i="37"/>
  <c r="O24" i="34"/>
  <c r="L24" i="37"/>
  <c r="O25" i="34"/>
  <c r="L25" i="37"/>
  <c r="O23" i="34"/>
  <c r="L23" i="37" s="1"/>
  <c r="L31" i="37" s="1"/>
  <c r="N32" i="34"/>
  <c r="N30" i="34"/>
  <c r="N26" i="34"/>
  <c r="N24" i="34"/>
  <c r="N25" i="34"/>
  <c r="N23" i="34"/>
  <c r="M32" i="34"/>
  <c r="G32" i="37"/>
  <c r="M30" i="34"/>
  <c r="G30" i="37"/>
  <c r="M29" i="34"/>
  <c r="G29" i="37" s="1"/>
  <c r="M28" i="34"/>
  <c r="M27" i="34"/>
  <c r="G27" i="37"/>
  <c r="M24" i="34"/>
  <c r="M25" i="34"/>
  <c r="G25" i="37" s="1"/>
  <c r="M23" i="34"/>
  <c r="O21" i="34"/>
  <c r="L21" i="37"/>
  <c r="O20" i="34"/>
  <c r="L20" i="37" s="1"/>
  <c r="O17" i="34"/>
  <c r="L17" i="37"/>
  <c r="O18" i="34"/>
  <c r="L18" i="37"/>
  <c r="O19" i="34"/>
  <c r="L19" i="37"/>
  <c r="O16" i="34"/>
  <c r="L16" i="37" s="1"/>
  <c r="N21" i="34"/>
  <c r="N20" i="34"/>
  <c r="N17" i="34"/>
  <c r="N18" i="34"/>
  <c r="N19" i="34"/>
  <c r="N16" i="34"/>
  <c r="M21" i="34"/>
  <c r="G21" i="37"/>
  <c r="M20" i="34"/>
  <c r="G20" i="37" s="1"/>
  <c r="M19" i="34"/>
  <c r="M17" i="34"/>
  <c r="G17" i="37"/>
  <c r="M18" i="34"/>
  <c r="G18" i="37"/>
  <c r="M16" i="34"/>
  <c r="N14" i="34"/>
  <c r="N13" i="34"/>
  <c r="M14" i="34"/>
  <c r="G14" i="37"/>
  <c r="M13" i="34"/>
  <c r="G13" i="37" s="1"/>
  <c r="G15" i="37" s="1"/>
  <c r="O14" i="34"/>
  <c r="L14" i="37" s="1"/>
  <c r="O13" i="34"/>
  <c r="L13" i="37"/>
  <c r="L15" i="37"/>
  <c r="O11" i="34"/>
  <c r="L11" i="37"/>
  <c r="O10" i="34"/>
  <c r="L10" i="37"/>
  <c r="O9" i="34"/>
  <c r="L9" i="37"/>
  <c r="O8" i="34"/>
  <c r="L8" i="37"/>
  <c r="O5" i="34"/>
  <c r="L5" i="37"/>
  <c r="O6" i="34"/>
  <c r="L6" i="37"/>
  <c r="O7" i="34"/>
  <c r="L7" i="37" s="1"/>
  <c r="O4" i="34"/>
  <c r="L4" i="37"/>
  <c r="N11" i="34"/>
  <c r="N10" i="34"/>
  <c r="N9" i="34"/>
  <c r="N8" i="34"/>
  <c r="N5" i="34"/>
  <c r="N6" i="34"/>
  <c r="N7" i="34"/>
  <c r="M11" i="34"/>
  <c r="G11" i="37" s="1"/>
  <c r="M10" i="34"/>
  <c r="G10" i="37"/>
  <c r="M9" i="34"/>
  <c r="G9" i="37" s="1"/>
  <c r="M8" i="34"/>
  <c r="G8" i="37"/>
  <c r="M5" i="34"/>
  <c r="G5" i="37"/>
  <c r="M6" i="34"/>
  <c r="G6" i="37"/>
  <c r="M7" i="34"/>
  <c r="G7" i="37" s="1"/>
  <c r="M4" i="34"/>
  <c r="G4" i="37" s="1"/>
  <c r="G12" i="37" s="1"/>
  <c r="L32" i="34"/>
  <c r="H32" i="37" s="1"/>
  <c r="H33" i="37" s="1"/>
  <c r="L30" i="34"/>
  <c r="M30" i="37"/>
  <c r="L29" i="34"/>
  <c r="L28" i="34"/>
  <c r="H28" i="37" s="1"/>
  <c r="L27" i="34"/>
  <c r="L24" i="34"/>
  <c r="M24" i="37"/>
  <c r="L25" i="34"/>
  <c r="L23" i="34"/>
  <c r="H23" i="37" s="1"/>
  <c r="L21" i="34"/>
  <c r="H21" i="37" s="1"/>
  <c r="L20" i="34"/>
  <c r="H20" i="37"/>
  <c r="L18" i="34"/>
  <c r="L19" i="34"/>
  <c r="L17" i="34"/>
  <c r="H17" i="37"/>
  <c r="L16" i="34"/>
  <c r="M16" i="37"/>
  <c r="L14" i="34"/>
  <c r="L13" i="34"/>
  <c r="H13" i="37" s="1"/>
  <c r="E1" i="28"/>
  <c r="C5" i="28"/>
  <c r="D5" i="28"/>
  <c r="E5" i="28"/>
  <c r="F5" i="28"/>
  <c r="G5" i="28"/>
  <c r="H5" i="28"/>
  <c r="I5" i="28"/>
  <c r="J5" i="28"/>
  <c r="K5" i="28"/>
  <c r="L5" i="28"/>
  <c r="M5" i="28"/>
  <c r="N5" i="28"/>
  <c r="O5" i="28"/>
  <c r="P5" i="28"/>
  <c r="C6" i="28"/>
  <c r="D6" i="28"/>
  <c r="E6" i="28"/>
  <c r="F6" i="28"/>
  <c r="G6" i="28"/>
  <c r="H6" i="28"/>
  <c r="I6" i="28"/>
  <c r="J6" i="28"/>
  <c r="K6" i="28"/>
  <c r="L6" i="28"/>
  <c r="M6" i="28"/>
  <c r="N6" i="28"/>
  <c r="O6" i="28"/>
  <c r="P6" i="28"/>
  <c r="C7" i="28"/>
  <c r="D7" i="28"/>
  <c r="E7" i="28"/>
  <c r="F7" i="28"/>
  <c r="G7" i="28"/>
  <c r="H7" i="28"/>
  <c r="H4" i="28" s="1"/>
  <c r="I7" i="28"/>
  <c r="J7" i="28"/>
  <c r="K7" i="28"/>
  <c r="L7" i="28"/>
  <c r="L4" i="28" s="1"/>
  <c r="M7" i="28"/>
  <c r="N7" i="28"/>
  <c r="O7" i="28"/>
  <c r="O4" i="28" s="1"/>
  <c r="P7" i="28"/>
  <c r="B8" i="28"/>
  <c r="B9" i="28"/>
  <c r="B10" i="28"/>
  <c r="B11" i="28"/>
  <c r="B12" i="28"/>
  <c r="B13" i="28"/>
  <c r="B14" i="28"/>
  <c r="B15" i="28"/>
  <c r="B16" i="28"/>
  <c r="B20" i="28"/>
  <c r="B7" i="28"/>
  <c r="B21" i="28"/>
  <c r="B6" i="28"/>
  <c r="B22" i="28"/>
  <c r="E6" i="27"/>
  <c r="D7" i="27"/>
  <c r="E7" i="27"/>
  <c r="F7" i="27"/>
  <c r="G7" i="27"/>
  <c r="H7" i="27"/>
  <c r="I7" i="27"/>
  <c r="J7" i="27"/>
  <c r="K7" i="27"/>
  <c r="L7" i="27"/>
  <c r="M7" i="27"/>
  <c r="N7" i="27"/>
  <c r="O7" i="27"/>
  <c r="P7" i="27"/>
  <c r="Q7" i="27"/>
  <c r="B8" i="27"/>
  <c r="E8" i="27"/>
  <c r="F8" i="27"/>
  <c r="G8" i="27"/>
  <c r="H8" i="27"/>
  <c r="I8" i="27"/>
  <c r="J8" i="27"/>
  <c r="K8" i="27"/>
  <c r="L8" i="27"/>
  <c r="M8" i="27"/>
  <c r="N8" i="27"/>
  <c r="O8" i="27"/>
  <c r="P8" i="27"/>
  <c r="Q8" i="27"/>
  <c r="D9" i="27"/>
  <c r="E9" i="27"/>
  <c r="F9" i="27"/>
  <c r="G9" i="27"/>
  <c r="H9" i="27"/>
  <c r="I9" i="27"/>
  <c r="J9" i="27"/>
  <c r="K9" i="27"/>
  <c r="L9" i="27"/>
  <c r="M9" i="27"/>
  <c r="N9" i="27"/>
  <c r="O9" i="27"/>
  <c r="P9" i="27"/>
  <c r="Q9" i="27"/>
  <c r="B10" i="27"/>
  <c r="R10" i="27"/>
  <c r="S10" i="27"/>
  <c r="B11" i="27"/>
  <c r="R11" i="27"/>
  <c r="S11" i="27"/>
  <c r="B12" i="27"/>
  <c r="R12" i="27"/>
  <c r="S12" i="27"/>
  <c r="B13" i="27"/>
  <c r="R13" i="27"/>
  <c r="S13" i="27"/>
  <c r="B14" i="27"/>
  <c r="R14" i="27"/>
  <c r="S14" i="27"/>
  <c r="B15" i="27"/>
  <c r="R15" i="27"/>
  <c r="S15" i="27"/>
  <c r="B16" i="27"/>
  <c r="R16" i="27"/>
  <c r="S16" i="27"/>
  <c r="B17" i="27"/>
  <c r="R17" i="27"/>
  <c r="S17" i="27"/>
  <c r="B18" i="27"/>
  <c r="R18" i="27"/>
  <c r="S18" i="27"/>
  <c r="B19" i="27"/>
  <c r="C19" i="27"/>
  <c r="R19" i="27"/>
  <c r="S19" i="27"/>
  <c r="B20" i="27"/>
  <c r="R20" i="27"/>
  <c r="S20" i="27"/>
  <c r="B21" i="27"/>
  <c r="R21" i="27"/>
  <c r="S21" i="27"/>
  <c r="B22" i="27"/>
  <c r="R22" i="27"/>
  <c r="S22" i="27"/>
  <c r="B23" i="27"/>
  <c r="C23" i="27"/>
  <c r="C9" i="27"/>
  <c r="R23" i="27"/>
  <c r="S23" i="27"/>
  <c r="R24" i="27"/>
  <c r="S24" i="27"/>
  <c r="R25" i="27"/>
  <c r="S25" i="27"/>
  <c r="C26" i="27"/>
  <c r="D26" i="27"/>
  <c r="R26" i="27"/>
  <c r="S26" i="27" s="1"/>
  <c r="C27" i="27"/>
  <c r="C8" i="27"/>
  <c r="R27" i="27"/>
  <c r="S27" i="27"/>
  <c r="B28" i="27"/>
  <c r="B7" i="27" s="1"/>
  <c r="C28" i="27"/>
  <c r="C7" i="27"/>
  <c r="R28" i="27"/>
  <c r="S28" i="27"/>
  <c r="AT4" i="26"/>
  <c r="I7" i="26"/>
  <c r="I2" i="26"/>
  <c r="O7" i="26"/>
  <c r="O2" i="26"/>
  <c r="R7" i="26"/>
  <c r="R2" i="26"/>
  <c r="U7" i="26"/>
  <c r="U2" i="26"/>
  <c r="X7" i="26"/>
  <c r="X2" i="26"/>
  <c r="AA7" i="26"/>
  <c r="AA2" i="26"/>
  <c r="AD7" i="26"/>
  <c r="AD2" i="26"/>
  <c r="AG7" i="26"/>
  <c r="AG2" i="26"/>
  <c r="AJ7" i="26"/>
  <c r="AJ2" i="26"/>
  <c r="AM7" i="26"/>
  <c r="AM2" i="26"/>
  <c r="D8" i="26"/>
  <c r="E8" i="26"/>
  <c r="G8" i="26"/>
  <c r="H8" i="26"/>
  <c r="J8" i="26"/>
  <c r="K8" i="26"/>
  <c r="M8" i="26"/>
  <c r="N8" i="26"/>
  <c r="P8" i="26"/>
  <c r="Q8" i="26"/>
  <c r="S8" i="26"/>
  <c r="T8" i="26"/>
  <c r="V8" i="26"/>
  <c r="W8" i="26"/>
  <c r="Y8" i="26"/>
  <c r="Z8" i="26"/>
  <c r="AB8" i="26"/>
  <c r="AC8" i="26"/>
  <c r="AE8" i="26"/>
  <c r="AF8" i="26"/>
  <c r="AH8" i="26"/>
  <c r="AI8" i="26"/>
  <c r="AK8" i="26"/>
  <c r="AL8" i="26"/>
  <c r="AO8" i="26" s="1"/>
  <c r="AP8" i="26"/>
  <c r="AW8" i="26"/>
  <c r="D9" i="26"/>
  <c r="E9" i="26"/>
  <c r="G9" i="26"/>
  <c r="H9" i="26"/>
  <c r="J9" i="26"/>
  <c r="K9" i="26"/>
  <c r="M9" i="26"/>
  <c r="N9" i="26"/>
  <c r="P9" i="26"/>
  <c r="Q9" i="26"/>
  <c r="S9" i="26"/>
  <c r="T9" i="26"/>
  <c r="V9" i="26"/>
  <c r="W9" i="26"/>
  <c r="Y9" i="26"/>
  <c r="Z9" i="26"/>
  <c r="AB9" i="26"/>
  <c r="AC9" i="26"/>
  <c r="AE9" i="26"/>
  <c r="AF9" i="26"/>
  <c r="AH9" i="26"/>
  <c r="AI9" i="26"/>
  <c r="AK9" i="26"/>
  <c r="AL9" i="26"/>
  <c r="AP9" i="26"/>
  <c r="AW9" i="26"/>
  <c r="D10" i="26"/>
  <c r="E10" i="26"/>
  <c r="G10" i="26"/>
  <c r="H10" i="26"/>
  <c r="J10" i="26"/>
  <c r="K10" i="26"/>
  <c r="M10" i="26"/>
  <c r="N10" i="26"/>
  <c r="P10" i="26"/>
  <c r="Q10" i="26"/>
  <c r="S10" i="26"/>
  <c r="T10" i="26"/>
  <c r="V10" i="26"/>
  <c r="W10" i="26"/>
  <c r="Y10" i="26"/>
  <c r="Z10" i="26"/>
  <c r="AB10" i="26"/>
  <c r="AC10" i="26"/>
  <c r="AE10" i="26"/>
  <c r="AF10" i="26"/>
  <c r="AH10" i="26"/>
  <c r="AI10" i="26"/>
  <c r="AK10" i="26"/>
  <c r="AN10" i="26"/>
  <c r="AL10" i="26"/>
  <c r="AO10" i="26" s="1"/>
  <c r="AP10" i="26"/>
  <c r="AS10" i="26"/>
  <c r="AW10" i="26"/>
  <c r="D11" i="26"/>
  <c r="E11" i="26"/>
  <c r="G11" i="26"/>
  <c r="H11" i="26"/>
  <c r="J11" i="26"/>
  <c r="K11" i="26"/>
  <c r="M11" i="26"/>
  <c r="N11" i="26"/>
  <c r="P11" i="26"/>
  <c r="Q11" i="26"/>
  <c r="S11" i="26"/>
  <c r="T11" i="26"/>
  <c r="V11" i="26"/>
  <c r="W11" i="26"/>
  <c r="Y11" i="26"/>
  <c r="Z11" i="26"/>
  <c r="AB11" i="26"/>
  <c r="AC11" i="26"/>
  <c r="AE11" i="26"/>
  <c r="AF11" i="26"/>
  <c r="AH11" i="26"/>
  <c r="AI11" i="26"/>
  <c r="AK11" i="26"/>
  <c r="AN11" i="26"/>
  <c r="AL11" i="26"/>
  <c r="AP11" i="26"/>
  <c r="AW11" i="26"/>
  <c r="D12" i="26"/>
  <c r="E12" i="26"/>
  <c r="G12" i="26"/>
  <c r="H12" i="26"/>
  <c r="J12" i="26"/>
  <c r="K12" i="26"/>
  <c r="M12" i="26"/>
  <c r="N12" i="26"/>
  <c r="P12" i="26"/>
  <c r="Q12" i="26"/>
  <c r="S12" i="26"/>
  <c r="T12" i="26"/>
  <c r="V12" i="26"/>
  <c r="W12" i="26"/>
  <c r="Y12" i="26"/>
  <c r="Z12" i="26"/>
  <c r="AB12" i="26"/>
  <c r="AC12" i="26"/>
  <c r="AE12" i="26"/>
  <c r="AF12" i="26"/>
  <c r="AH12" i="26"/>
  <c r="AI12" i="26"/>
  <c r="AK12" i="26"/>
  <c r="AN12" i="26" s="1"/>
  <c r="AL12" i="26"/>
  <c r="AP12" i="26"/>
  <c r="AW12" i="26"/>
  <c r="D13" i="26"/>
  <c r="E13" i="26"/>
  <c r="G13" i="26"/>
  <c r="H13" i="26"/>
  <c r="J13" i="26"/>
  <c r="K13" i="26"/>
  <c r="M13" i="26"/>
  <c r="N13" i="26"/>
  <c r="P13" i="26"/>
  <c r="Q13" i="26"/>
  <c r="S13" i="26"/>
  <c r="T13" i="26"/>
  <c r="V13" i="26"/>
  <c r="W13" i="26"/>
  <c r="Y13" i="26"/>
  <c r="Z13" i="26"/>
  <c r="AB13" i="26"/>
  <c r="AC13" i="26"/>
  <c r="AE13" i="26"/>
  <c r="AF13" i="26"/>
  <c r="AH13" i="26"/>
  <c r="AI13" i="26"/>
  <c r="AK13" i="26"/>
  <c r="AN13" i="26"/>
  <c r="AL13" i="26"/>
  <c r="AO13" i="26" s="1"/>
  <c r="AP13" i="26"/>
  <c r="AW13" i="26"/>
  <c r="D14" i="26"/>
  <c r="E14" i="26"/>
  <c r="G14" i="26"/>
  <c r="H14" i="26"/>
  <c r="J14" i="26"/>
  <c r="K14" i="26"/>
  <c r="M14" i="26"/>
  <c r="N14" i="26"/>
  <c r="P14" i="26"/>
  <c r="Q14" i="26"/>
  <c r="S14" i="26"/>
  <c r="T14" i="26"/>
  <c r="V14" i="26"/>
  <c r="W14" i="26"/>
  <c r="Y14" i="26"/>
  <c r="Z14" i="26"/>
  <c r="AB14" i="26"/>
  <c r="AC14" i="26"/>
  <c r="AE14" i="26"/>
  <c r="AF14" i="26"/>
  <c r="AH14" i="26"/>
  <c r="AI14" i="26"/>
  <c r="AK14" i="26"/>
  <c r="AL14" i="26"/>
  <c r="AO14" i="26" s="1"/>
  <c r="AP14" i="26"/>
  <c r="AS14" i="26"/>
  <c r="AT14" i="26"/>
  <c r="AW14" i="26" s="1"/>
  <c r="D15" i="26"/>
  <c r="G15" i="26"/>
  <c r="AN15" i="26"/>
  <c r="AO15" i="26"/>
  <c r="AP15" i="26"/>
  <c r="AQ15" i="26" s="1"/>
  <c r="AS15" i="26"/>
  <c r="AT15" i="26"/>
  <c r="AW15" i="26" s="1"/>
  <c r="AN16" i="26"/>
  <c r="AO16" i="26"/>
  <c r="AP16" i="26"/>
  <c r="AQ16" i="26"/>
  <c r="AW16" i="26"/>
  <c r="AN17" i="26"/>
  <c r="AO17" i="26"/>
  <c r="AP17" i="26"/>
  <c r="AQ17" i="26"/>
  <c r="AS17" i="26"/>
  <c r="AW17" i="26"/>
  <c r="AN18" i="26"/>
  <c r="AO18" i="26"/>
  <c r="AP18" i="26"/>
  <c r="AW18" i="26"/>
  <c r="D19" i="26"/>
  <c r="E19" i="26"/>
  <c r="G19" i="26"/>
  <c r="H19" i="26"/>
  <c r="J19" i="26"/>
  <c r="K19" i="26"/>
  <c r="M19" i="26"/>
  <c r="N19" i="26"/>
  <c r="P19" i="26"/>
  <c r="Q19" i="26"/>
  <c r="S19" i="26"/>
  <c r="T19" i="26"/>
  <c r="V19" i="26"/>
  <c r="W19" i="26"/>
  <c r="Y19" i="26"/>
  <c r="Z19" i="26"/>
  <c r="AB19" i="26"/>
  <c r="AC19" i="26"/>
  <c r="AE19" i="26"/>
  <c r="AF19" i="26"/>
  <c r="AH19" i="26"/>
  <c r="AI19" i="26"/>
  <c r="AK19" i="26"/>
  <c r="AL19" i="26"/>
  <c r="AP19" i="26"/>
  <c r="AS19" i="26"/>
  <c r="AT19" i="26"/>
  <c r="BA18" i="26"/>
  <c r="D20" i="26"/>
  <c r="E20" i="26"/>
  <c r="G20" i="26"/>
  <c r="H20" i="26"/>
  <c r="J20" i="26"/>
  <c r="K20" i="26"/>
  <c r="M20" i="26"/>
  <c r="N20" i="26"/>
  <c r="P20" i="26"/>
  <c r="Q20" i="26"/>
  <c r="S20" i="26"/>
  <c r="Z20" i="26"/>
  <c r="AC20" i="26"/>
  <c r="AF20" i="26"/>
  <c r="AI20" i="26"/>
  <c r="AL20" i="26"/>
  <c r="AP20" i="26"/>
  <c r="AS20" i="26"/>
  <c r="AT20" i="26"/>
  <c r="AW20" i="26"/>
  <c r="AZ20" i="26"/>
  <c r="V21" i="26"/>
  <c r="V20" i="26"/>
  <c r="Y21" i="26"/>
  <c r="Y20" i="26"/>
  <c r="AB21" i="26"/>
  <c r="AB20" i="26"/>
  <c r="AE21" i="26"/>
  <c r="AE20" i="26"/>
  <c r="AH21" i="26"/>
  <c r="AK21" i="26"/>
  <c r="AK20" i="26"/>
  <c r="AO21" i="26"/>
  <c r="AP21" i="26"/>
  <c r="AW21" i="26"/>
  <c r="AN22" i="26"/>
  <c r="AO22" i="26"/>
  <c r="AP22" i="26"/>
  <c r="AW22" i="26"/>
  <c r="AN23" i="26"/>
  <c r="AO23" i="26"/>
  <c r="AP23" i="26"/>
  <c r="AW23" i="26"/>
  <c r="AN24" i="26"/>
  <c r="AO24" i="26"/>
  <c r="AP24" i="26"/>
  <c r="AW24" i="26"/>
  <c r="AN25" i="26"/>
  <c r="AO25" i="26"/>
  <c r="AP25" i="26"/>
  <c r="AQ25" i="26" s="1"/>
  <c r="AW25" i="26"/>
  <c r="D26" i="26"/>
  <c r="E26" i="26"/>
  <c r="E37" i="26" s="1"/>
  <c r="G26" i="26"/>
  <c r="H26" i="26"/>
  <c r="J26" i="26"/>
  <c r="K26" i="26"/>
  <c r="K37" i="26" s="1"/>
  <c r="M26" i="26"/>
  <c r="N26" i="26"/>
  <c r="N7" i="26" s="1"/>
  <c r="N2" i="26" s="1"/>
  <c r="P26" i="26"/>
  <c r="Q26" i="26"/>
  <c r="Q37" i="26" s="1"/>
  <c r="Q38" i="26" s="1"/>
  <c r="S26" i="26"/>
  <c r="T26" i="26"/>
  <c r="T37" i="26" s="1"/>
  <c r="T38" i="26" s="1"/>
  <c r="V26" i="26"/>
  <c r="W26" i="26"/>
  <c r="Y26" i="26"/>
  <c r="Z26" i="26"/>
  <c r="AB26" i="26"/>
  <c r="AC26" i="26"/>
  <c r="AC37" i="26" s="1"/>
  <c r="AE26" i="26"/>
  <c r="AF26" i="26"/>
  <c r="AH26" i="26"/>
  <c r="AI26" i="26"/>
  <c r="AK26" i="26"/>
  <c r="AN26" i="26" s="1"/>
  <c r="AL26" i="26"/>
  <c r="AL37" i="26"/>
  <c r="AO26" i="26"/>
  <c r="AP26" i="26"/>
  <c r="AT26" i="26"/>
  <c r="AN27" i="26"/>
  <c r="AO27" i="26"/>
  <c r="AP27" i="26"/>
  <c r="AN28" i="26"/>
  <c r="AO28" i="26"/>
  <c r="AP28" i="26"/>
  <c r="AN29" i="26"/>
  <c r="AO29" i="26"/>
  <c r="AP29" i="26"/>
  <c r="AN30" i="26"/>
  <c r="D31" i="26"/>
  <c r="G31" i="26"/>
  <c r="J31" i="26"/>
  <c r="M31" i="26"/>
  <c r="P31" i="26"/>
  <c r="S31" i="26"/>
  <c r="V31" i="26"/>
  <c r="Y31" i="26"/>
  <c r="AB31" i="26"/>
  <c r="AE31" i="26"/>
  <c r="AH31" i="26"/>
  <c r="AK31" i="26"/>
  <c r="AO31" i="26"/>
  <c r="AP31" i="26"/>
  <c r="AN32" i="26"/>
  <c r="AO32" i="26"/>
  <c r="AP32" i="26"/>
  <c r="AN33" i="26"/>
  <c r="AO33" i="26"/>
  <c r="AP33" i="26"/>
  <c r="AN35" i="26"/>
  <c r="AO35" i="26"/>
  <c r="AP35" i="26"/>
  <c r="F36" i="26"/>
  <c r="D36" i="26" s="1"/>
  <c r="G36" i="26"/>
  <c r="G37" i="26"/>
  <c r="G38" i="26"/>
  <c r="L36" i="26"/>
  <c r="L37" i="26"/>
  <c r="M36" i="26"/>
  <c r="P36" i="26"/>
  <c r="S36" i="26"/>
  <c r="S37" i="26"/>
  <c r="S38" i="26"/>
  <c r="V36" i="26"/>
  <c r="Y36" i="26"/>
  <c r="AB36" i="26"/>
  <c r="AE36" i="26"/>
  <c r="AH36" i="26"/>
  <c r="AK36" i="26"/>
  <c r="AK37" i="26"/>
  <c r="AK38" i="26"/>
  <c r="AO36" i="26"/>
  <c r="AT36" i="26"/>
  <c r="I37" i="26"/>
  <c r="I38" i="26"/>
  <c r="O37" i="26"/>
  <c r="O38" i="26"/>
  <c r="R37" i="26"/>
  <c r="R38" i="26"/>
  <c r="U37" i="26"/>
  <c r="U38" i="26"/>
  <c r="X37" i="26"/>
  <c r="X38" i="26"/>
  <c r="AA37" i="26"/>
  <c r="AA38" i="26"/>
  <c r="AD37" i="26"/>
  <c r="AD38" i="26"/>
  <c r="AG37" i="26"/>
  <c r="AG38" i="26"/>
  <c r="AJ37" i="26"/>
  <c r="AJ38" i="26"/>
  <c r="AM37" i="26"/>
  <c r="AM38" i="26"/>
  <c r="AL39" i="26"/>
  <c r="AQ40" i="26"/>
  <c r="AO42" i="26"/>
  <c r="E13" i="37"/>
  <c r="J13" i="37"/>
  <c r="E14" i="37"/>
  <c r="E15" i="37"/>
  <c r="J14" i="37"/>
  <c r="E16" i="37"/>
  <c r="J16" i="37"/>
  <c r="E17" i="37"/>
  <c r="I17" i="37" s="1"/>
  <c r="J17" i="37"/>
  <c r="E18" i="37"/>
  <c r="J18" i="37"/>
  <c r="J19" i="37"/>
  <c r="E20" i="37"/>
  <c r="I20" i="37" s="1"/>
  <c r="J20" i="37"/>
  <c r="E21" i="37"/>
  <c r="I21" i="37" s="1"/>
  <c r="J21" i="37"/>
  <c r="E23" i="37"/>
  <c r="J23" i="37"/>
  <c r="E24" i="37"/>
  <c r="J24" i="37"/>
  <c r="N24" i="37" s="1"/>
  <c r="E25" i="37"/>
  <c r="J25" i="37"/>
  <c r="J26" i="37"/>
  <c r="E27" i="37"/>
  <c r="I27" i="37" s="1"/>
  <c r="O27" i="37" s="1"/>
  <c r="E28" i="37"/>
  <c r="E29" i="37"/>
  <c r="E30" i="37"/>
  <c r="J30" i="37"/>
  <c r="N30" i="37" s="1"/>
  <c r="E32" i="37"/>
  <c r="I32" i="37" s="1"/>
  <c r="E33" i="37"/>
  <c r="J32" i="37"/>
  <c r="L4" i="34"/>
  <c r="H4" i="37" s="1"/>
  <c r="L5" i="34"/>
  <c r="H5" i="37" s="1"/>
  <c r="L6" i="34"/>
  <c r="M6" i="37" s="1"/>
  <c r="H6" i="37"/>
  <c r="L7" i="34"/>
  <c r="L8" i="34"/>
  <c r="H8" i="37" s="1"/>
  <c r="L9" i="34"/>
  <c r="M9" i="37"/>
  <c r="L10" i="34"/>
  <c r="M10" i="37" s="1"/>
  <c r="H10" i="37"/>
  <c r="L11" i="34"/>
  <c r="H11" i="37" s="1"/>
  <c r="F7" i="26"/>
  <c r="F2" i="26"/>
  <c r="F37" i="26"/>
  <c r="F38" i="26"/>
  <c r="AW26" i="26"/>
  <c r="F39" i="26"/>
  <c r="N4" i="28"/>
  <c r="AO9" i="26"/>
  <c r="D8" i="27"/>
  <c r="D1" i="27"/>
  <c r="N37" i="26"/>
  <c r="N38" i="26"/>
  <c r="F1" i="27"/>
  <c r="I4" i="28"/>
  <c r="AQ10" i="26"/>
  <c r="AB37" i="26"/>
  <c r="AB38" i="26"/>
  <c r="Z37" i="26"/>
  <c r="Z38" i="26"/>
  <c r="AO11" i="26"/>
  <c r="AQ3" i="26"/>
  <c r="Q7" i="26"/>
  <c r="Q2" i="26"/>
  <c r="AN8" i="26"/>
  <c r="AP36" i="26"/>
  <c r="L7" i="26"/>
  <c r="L2" i="26"/>
  <c r="J36" i="26"/>
  <c r="J37" i="26"/>
  <c r="J38" i="26"/>
  <c r="L38" i="26"/>
  <c r="K38" i="26"/>
  <c r="F4" i="28"/>
  <c r="E38" i="26"/>
  <c r="E39" i="26"/>
  <c r="B5" i="28"/>
  <c r="B4" i="28"/>
  <c r="AH20" i="26"/>
  <c r="M7" i="26"/>
  <c r="M2" i="26"/>
  <c r="AH7" i="26"/>
  <c r="AH2" i="26"/>
  <c r="B9" i="27"/>
  <c r="AQ24" i="26"/>
  <c r="AQ22" i="26"/>
  <c r="AZ18" i="26"/>
  <c r="AW19" i="26"/>
  <c r="AQ18" i="26"/>
  <c r="AO12" i="26"/>
  <c r="AQ12" i="26"/>
  <c r="AL7" i="26"/>
  <c r="AL2" i="26"/>
  <c r="AF7" i="26"/>
  <c r="AF2" i="26"/>
  <c r="D5" i="27"/>
  <c r="AT37" i="26"/>
  <c r="AE37" i="26"/>
  <c r="AE38" i="26"/>
  <c r="AQ13" i="26"/>
  <c r="E7" i="26"/>
  <c r="E2" i="26"/>
  <c r="AC38" i="26"/>
  <c r="AQ8" i="26"/>
  <c r="N26" i="37"/>
  <c r="O26" i="37"/>
  <c r="J15" i="37"/>
  <c r="I33" i="37"/>
  <c r="B1" i="27"/>
  <c r="B5" i="27"/>
  <c r="H24" i="37"/>
  <c r="M5" i="37"/>
  <c r="AI37" i="26"/>
  <c r="AI38" i="26"/>
  <c r="AO19" i="26"/>
  <c r="C5" i="27"/>
  <c r="C1" i="27"/>
  <c r="L12" i="37"/>
  <c r="G23" i="37"/>
  <c r="M19" i="37"/>
  <c r="L22" i="37"/>
  <c r="M21" i="37"/>
  <c r="N21" i="37"/>
  <c r="O21" i="37"/>
  <c r="AQ11" i="26"/>
  <c r="N16" i="37"/>
  <c r="AI7" i="26"/>
  <c r="AI2" i="26"/>
  <c r="AP37" i="26"/>
  <c r="Y37" i="26"/>
  <c r="Y38" i="26"/>
  <c r="AN21" i="26"/>
  <c r="AN20" i="26"/>
  <c r="AN9" i="26"/>
  <c r="AK7" i="26"/>
  <c r="AK2" i="26"/>
  <c r="AE7" i="26"/>
  <c r="AE2" i="26"/>
  <c r="S7" i="26"/>
  <c r="S2" i="26"/>
  <c r="AC7" i="26"/>
  <c r="AC2" i="26"/>
  <c r="W7" i="26"/>
  <c r="W2" i="26"/>
  <c r="W37" i="26"/>
  <c r="W38" i="26"/>
  <c r="M20" i="37"/>
  <c r="G33" i="37"/>
  <c r="AN36" i="26"/>
  <c r="AS38" i="26"/>
  <c r="AS36" i="26"/>
  <c r="J33" i="37"/>
  <c r="N19" i="37"/>
  <c r="O19" i="37"/>
  <c r="AL38" i="26"/>
  <c r="H37" i="26"/>
  <c r="H38" i="26"/>
  <c r="AP7" i="26"/>
  <c r="P37" i="26"/>
  <c r="P38" i="26"/>
  <c r="AB7" i="26"/>
  <c r="AB2" i="26"/>
  <c r="E4" i="28"/>
  <c r="K7" i="26"/>
  <c r="K2" i="26"/>
  <c r="E1" i="27"/>
  <c r="E5" i="27"/>
  <c r="G28" i="37"/>
  <c r="M11" i="37"/>
  <c r="I5" i="37"/>
  <c r="K35" i="37"/>
  <c r="D37" i="26"/>
  <c r="M37" i="26"/>
  <c r="M38" i="26"/>
  <c r="AO20" i="26"/>
  <c r="T7" i="26"/>
  <c r="T2" i="26"/>
  <c r="H7" i="26"/>
  <c r="H2" i="26"/>
  <c r="H9" i="37"/>
  <c r="M4" i="37"/>
  <c r="M13" i="37"/>
  <c r="M17" i="37"/>
  <c r="N17" i="37"/>
  <c r="O17" i="37"/>
  <c r="N20" i="37"/>
  <c r="O20" i="37"/>
  <c r="AH37" i="26"/>
  <c r="V37" i="26"/>
  <c r="V38" i="26"/>
  <c r="AF37" i="26"/>
  <c r="AF38" i="26"/>
  <c r="AQ23" i="26"/>
  <c r="AN19" i="26"/>
  <c r="AN14" i="26"/>
  <c r="AQ14" i="26"/>
  <c r="D4" i="28"/>
  <c r="G16" i="37"/>
  <c r="G24" i="37"/>
  <c r="H16" i="37"/>
  <c r="H30" i="37"/>
  <c r="M32" i="37"/>
  <c r="M33" i="37"/>
  <c r="I8" i="37"/>
  <c r="I9" i="37"/>
  <c r="I4" i="37"/>
  <c r="AQ21" i="26"/>
  <c r="AQ20" i="26"/>
  <c r="AO7" i="26"/>
  <c r="G22" i="37"/>
  <c r="AO37" i="26"/>
  <c r="N32" i="37"/>
  <c r="AQ36" i="26"/>
  <c r="AQ19" i="26"/>
  <c r="AS37" i="26"/>
  <c r="AW36" i="26"/>
  <c r="AH38" i="26"/>
  <c r="AN37" i="26"/>
  <c r="D38" i="26"/>
  <c r="D39" i="26"/>
  <c r="AQ9" i="26"/>
  <c r="L35" i="37"/>
  <c r="AN40" i="26"/>
  <c r="AN39" i="26"/>
  <c r="AN48" i="26"/>
  <c r="O32" i="37"/>
  <c r="N33" i="37"/>
  <c r="O33" i="37"/>
  <c r="G31" i="37" l="1"/>
  <c r="G35" i="37" s="1"/>
  <c r="M7" i="37"/>
  <c r="H7" i="37"/>
  <c r="H12" i="37" s="1"/>
  <c r="I30" i="37"/>
  <c r="O30" i="37" s="1"/>
  <c r="I28" i="37"/>
  <c r="O28" i="37" s="1"/>
  <c r="I24" i="37"/>
  <c r="O24" i="37" s="1"/>
  <c r="J31" i="37"/>
  <c r="I23" i="37"/>
  <c r="E31" i="37"/>
  <c r="J22" i="37"/>
  <c r="E22" i="37"/>
  <c r="I16" i="37"/>
  <c r="AN31" i="26"/>
  <c r="AN7" i="26" s="1"/>
  <c r="AQ26" i="26"/>
  <c r="Y7" i="26"/>
  <c r="Y2" i="26" s="1"/>
  <c r="G7" i="26"/>
  <c r="G2" i="26" s="1"/>
  <c r="Z7" i="26"/>
  <c r="Z2" i="26" s="1"/>
  <c r="V7" i="26"/>
  <c r="V2" i="26" s="1"/>
  <c r="P7" i="26"/>
  <c r="P2" i="26" s="1"/>
  <c r="J7" i="26"/>
  <c r="J2" i="26" s="1"/>
  <c r="D7" i="26"/>
  <c r="D2" i="26" s="1"/>
  <c r="P4" i="28"/>
  <c r="M4" i="28"/>
  <c r="K4" i="28"/>
  <c r="J4" i="28"/>
  <c r="G4" i="28"/>
  <c r="C4" i="28"/>
  <c r="M18" i="37"/>
  <c r="H18" i="37"/>
  <c r="M25" i="37"/>
  <c r="N25" i="37" s="1"/>
  <c r="H25" i="37"/>
  <c r="H14" i="37"/>
  <c r="H15" i="37" s="1"/>
  <c r="H29" i="37"/>
  <c r="I29" i="37" s="1"/>
  <c r="O29" i="37" s="1"/>
  <c r="M23" i="37"/>
  <c r="M14" i="37"/>
  <c r="M15" i="37" s="1"/>
  <c r="M8" i="37"/>
  <c r="N8" i="37"/>
  <c r="O8" i="37" s="1"/>
  <c r="N5" i="37"/>
  <c r="O5" i="37" s="1"/>
  <c r="N4" i="37"/>
  <c r="J12" i="37"/>
  <c r="J35" i="37" s="1"/>
  <c r="E12" i="37"/>
  <c r="E35" i="37" s="1"/>
  <c r="I11" i="37"/>
  <c r="I10" i="37"/>
  <c r="I7" i="37"/>
  <c r="I6" i="37"/>
  <c r="I13" i="37"/>
  <c r="F15" i="37"/>
  <c r="F22" i="37"/>
  <c r="I14" i="37"/>
  <c r="N11" i="37"/>
  <c r="N10" i="37"/>
  <c r="N9" i="37"/>
  <c r="O9" i="37" s="1"/>
  <c r="N7" i="37"/>
  <c r="N6" i="37"/>
  <c r="N13" i="37"/>
  <c r="N14" i="37"/>
  <c r="N15" i="37" l="1"/>
  <c r="O14" i="37"/>
  <c r="F35" i="37"/>
  <c r="I15" i="37"/>
  <c r="O15" i="37" s="1"/>
  <c r="O13" i="37"/>
  <c r="O6" i="37"/>
  <c r="I12" i="37"/>
  <c r="O7" i="37"/>
  <c r="O10" i="37"/>
  <c r="O11" i="37"/>
  <c r="N12" i="37"/>
  <c r="O4" i="37"/>
  <c r="M31" i="37"/>
  <c r="N23" i="37"/>
  <c r="N31" i="37" s="1"/>
  <c r="I25" i="37"/>
  <c r="O25" i="37" s="1"/>
  <c r="H31" i="37"/>
  <c r="H22" i="37"/>
  <c r="I18" i="37"/>
  <c r="N18" i="37"/>
  <c r="N22" i="37" s="1"/>
  <c r="M22" i="37"/>
  <c r="AQ7" i="26"/>
  <c r="AQ37" i="26"/>
  <c r="AQ43" i="26" s="1"/>
  <c r="I22" i="37"/>
  <c r="O22" i="37" s="1"/>
  <c r="O16" i="37"/>
  <c r="I31" i="37"/>
  <c r="O31" i="37" s="1"/>
  <c r="O23" i="37"/>
  <c r="H35" i="37"/>
  <c r="M12" i="37"/>
  <c r="M35" i="37" s="1"/>
  <c r="O18" i="37" l="1"/>
  <c r="N35" i="37"/>
  <c r="R4" i="37" s="1"/>
  <c r="O12" i="37"/>
  <c r="O35" i="37" s="1"/>
  <c r="I35" i="37"/>
  <c r="Q4" i="37" s="1"/>
  <c r="S4" i="37" s="1"/>
</calcChain>
</file>

<file path=xl/sharedStrings.xml><?xml version="1.0" encoding="utf-8"?>
<sst xmlns="http://schemas.openxmlformats.org/spreadsheetml/2006/main" count="574" uniqueCount="247">
  <si>
    <t>PROPOSTA DE TRABALHO - 16º e 17º TERMOS ADITIVOS</t>
  </si>
  <si>
    <t>MÉTRICA</t>
  </si>
  <si>
    <t>Cód. Unidade</t>
  </si>
  <si>
    <t>Unidade Executora</t>
  </si>
  <si>
    <t>Cód. Serviço</t>
  </si>
  <si>
    <t xml:space="preserve">Serviço </t>
  </si>
  <si>
    <t>Despesa Planejada</t>
  </si>
  <si>
    <t>Quantidade Planejada</t>
  </si>
  <si>
    <t>1º SEMESTRE</t>
  </si>
  <si>
    <t>2º SEMESTRE</t>
  </si>
  <si>
    <t>1º SEMESTRE
2020/2</t>
  </si>
  <si>
    <t>2º SEMESTRE
2021/1</t>
  </si>
  <si>
    <t>VP/QP</t>
  </si>
  <si>
    <t>QP/VP</t>
  </si>
  <si>
    <t>CISF</t>
  </si>
  <si>
    <t>CENTRO DE IDOSOS SAGRADA FAMÍLIA (CISF)</t>
  </si>
  <si>
    <t>S1</t>
  </si>
  <si>
    <t>Acolhimento Institucional (ILPI)</t>
  </si>
  <si>
    <t>S2</t>
  </si>
  <si>
    <t>Acolhimento Institucional (Casa Lar)</t>
  </si>
  <si>
    <t>S3</t>
  </si>
  <si>
    <t>Proteção Social Especial para Pessoas Idosas (Centro Dia)</t>
  </si>
  <si>
    <t>S4</t>
  </si>
  <si>
    <t>Convivência e Fortalecimento de Vínculos</t>
  </si>
  <si>
    <t>CIVV</t>
  </si>
  <si>
    <t>CENTRO DE IDOSOS VILA VIDA (CIVV)</t>
  </si>
  <si>
    <t>S5</t>
  </si>
  <si>
    <t>S6</t>
  </si>
  <si>
    <t>EBV I</t>
  </si>
  <si>
    <t>ESPAÇO BEM VIVER I (EBV I)</t>
  </si>
  <si>
    <t>S7</t>
  </si>
  <si>
    <t>EBV II</t>
  </si>
  <si>
    <t>ESPAÇO BEM VIVER II (EBV II)</t>
  </si>
  <si>
    <t>S8</t>
  </si>
  <si>
    <t>EIXO 1: Índice de Proteção Social ao Idoso - IPSI</t>
  </si>
  <si>
    <t>CATF</t>
  </si>
  <si>
    <t>CENTRO DE ADOLESCENTES TECENDO O FUTURO (CATF)</t>
  </si>
  <si>
    <t>S9</t>
  </si>
  <si>
    <t>CSDGB</t>
  </si>
  <si>
    <t>CENTRO SOCIAL DONA GERCINA BORGES TEIXEIRA (CSDGB)</t>
  </si>
  <si>
    <t>S10</t>
  </si>
  <si>
    <t>Adolescentes e jovens atendidas no Programa Meninas de Luz</t>
  </si>
  <si>
    <t>EIXO 2: Índice de Proteção Social ao Adolescente e ao Jovem - IPSAJ</t>
  </si>
  <si>
    <t>GVPS = GBS + GPV</t>
  </si>
  <si>
    <t>GERÊNCIA DE VOLUNTARIADO E PARCERIAS SOCIAIS  (GVPS) = GERÊNCIA DE BENEFÍCIOS SOCIAIS (GBS) + GERÊNCIA DE PROMOÇÃO DO VOLUNTARIADO (GPV)</t>
  </si>
  <si>
    <t>S13</t>
  </si>
  <si>
    <t>Apoio e assistência às gestantes</t>
  </si>
  <si>
    <t>S14</t>
  </si>
  <si>
    <t>Apoio e assistência aos cidadãos, pessoas com deficiências, idosos, vítimas de queimaduras e outros</t>
  </si>
  <si>
    <t>S15</t>
  </si>
  <si>
    <t>Apoio e assistência às crianças</t>
  </si>
  <si>
    <t>S16</t>
  </si>
  <si>
    <t>Número de famílias em situação de vulnerabilidade e risco social atendidas</t>
  </si>
  <si>
    <t>CIGO</t>
  </si>
  <si>
    <t>CASA DO INTERIOR DE GOIÁS (CIGO)</t>
  </si>
  <si>
    <t>S17</t>
  </si>
  <si>
    <t>Serviço de Acolhimento Institucional Provisório</t>
  </si>
  <si>
    <t>RB</t>
  </si>
  <si>
    <t>RESTAURANTE DO BEM (RB)</t>
  </si>
  <si>
    <t>S18</t>
  </si>
  <si>
    <t>Programa Restaurante do Bem</t>
  </si>
  <si>
    <t>EIXO 3: Índice de Proteção Social às Famílas e Indivíduos em Situação de Vulnerabilidade Social - IPSFI</t>
  </si>
  <si>
    <t>GVPS2 = GBS + GPV</t>
  </si>
  <si>
    <t>S19</t>
  </si>
  <si>
    <t>Capacitação de voluntários</t>
  </si>
  <si>
    <t>S20</t>
  </si>
  <si>
    <t>Assessoria e capacitação a entidades sociais</t>
  </si>
  <si>
    <t>S21</t>
  </si>
  <si>
    <t>Apoio às entidades sociais</t>
  </si>
  <si>
    <t>CEPIS</t>
  </si>
  <si>
    <t>CAMPANHAS, EVENTOS DE PROTEÇÃO E INCLUSÃO SOCIAL (CEPIS)</t>
  </si>
  <si>
    <t>S22</t>
  </si>
  <si>
    <t>Apoio ao Romeiro de Trindade</t>
  </si>
  <si>
    <t>S23</t>
  </si>
  <si>
    <t>Apoio ao Romeiro de Muquém</t>
  </si>
  <si>
    <t>S24</t>
  </si>
  <si>
    <t>Natal do Bem: Crianças beneficiadas com brinquedo</t>
  </si>
  <si>
    <t>S25</t>
  </si>
  <si>
    <t>Natal do Bem: Visitantes na Vila do Papai Noel</t>
  </si>
  <si>
    <t>GGSA</t>
  </si>
  <si>
    <t>GERÊNCIA DE GESTÃO SOCIAL E AVALIAÇÃO (GGSA)</t>
  </si>
  <si>
    <t>S26</t>
  </si>
  <si>
    <t>Atendimento aos municípios</t>
  </si>
  <si>
    <t>EIXO 4: Índice da Rede de Voluntariado, Investimento e Parcerias Sociais - IRVIPS</t>
  </si>
  <si>
    <t>PROBEM</t>
  </si>
  <si>
    <t>PROGRAMA UNIVERSITÁRIO DO BEM (PROBEM)</t>
  </si>
  <si>
    <t>S27</t>
  </si>
  <si>
    <t>Promoção do protagonismo jovem e integração ao mundo do trabalho</t>
  </si>
  <si>
    <t>EIXO 5: Índice de Integração ao Mundo do Trabalho - IIMT</t>
  </si>
  <si>
    <t>Goiânia, julho de 2021.</t>
  </si>
  <si>
    <t xml:space="preserve">Thomas Marcelo e Silva </t>
  </si>
  <si>
    <t xml:space="preserve"> Jeane de Cássia Dias Abdala Maia</t>
  </si>
  <si>
    <t>Diretor Administrativo e Financeiro</t>
  </si>
  <si>
    <t>Diretora de Ações Sociais</t>
  </si>
  <si>
    <t>Rúbia Erika Prado Cardoso</t>
  </si>
  <si>
    <t>Adryanna Leonor Melo de Oliveira Caiado</t>
  </si>
  <si>
    <t xml:space="preserve">Diretora de Programas Especiais </t>
  </si>
  <si>
    <t xml:space="preserve"> Diretora Geral </t>
  </si>
  <si>
    <t>RESULTADO DOS SERVIÇOS OFERTADOS NO PERÍODO</t>
  </si>
  <si>
    <t>1º Semestre - 2020/2</t>
  </si>
  <si>
    <t>2º Semestre - 2021/1</t>
  </si>
  <si>
    <t>Despesa</t>
  </si>
  <si>
    <t>Quantidade</t>
  </si>
  <si>
    <t>Qualidade (%)</t>
  </si>
  <si>
    <t>VR/QR</t>
  </si>
  <si>
    <t>QR/VR</t>
  </si>
  <si>
    <t>*</t>
  </si>
  <si>
    <t>* A QUALIDADE de alguns serviços não pôde ser aferida, pois os atendimentos foram suspensos em função da pandemia e as pesquisas de satisfação não foram realizadas, conforme registrado nas Notas Explicativas.</t>
  </si>
  <si>
    <t>Thomas Marcelo e Silva</t>
  </si>
  <si>
    <t xml:space="preserve">Diretor Administrativo e Financeiro </t>
  </si>
  <si>
    <t xml:space="preserve"> Rúbia Erika Prado Cardoso</t>
  </si>
  <si>
    <t>ÍNDICE DE DESEMPENHO INSTITUCIONAL - PERCENTUAIS E NOTAS</t>
  </si>
  <si>
    <t>NOTA</t>
  </si>
  <si>
    <t>Valores</t>
  </si>
  <si>
    <t>Desempenho Médio</t>
  </si>
  <si>
    <t>1º Semestre</t>
  </si>
  <si>
    <t>2º Semestre</t>
  </si>
  <si>
    <t>Final</t>
  </si>
  <si>
    <t>Planejado</t>
  </si>
  <si>
    <t>Qualidade</t>
  </si>
  <si>
    <t>Eficácia</t>
  </si>
  <si>
    <t>Eficiência</t>
  </si>
  <si>
    <t>Economicidade</t>
  </si>
  <si>
    <t>Total</t>
  </si>
  <si>
    <t>Realizado</t>
  </si>
  <si>
    <t>Diferença</t>
  </si>
  <si>
    <t>EIXO 1: Índice de Proteção Social ao Idoso - PSI [(S1+S2+S3+S4+S5+S6+S7+S8)/8]</t>
  </si>
  <si>
    <t>EIXO 2: Índice de Proteção Social ao Adolescente e ao Jovem - IPSAJ [(S9+S10+S11+S12)/4]</t>
  </si>
  <si>
    <t>EIXO 3: Índice de Proteção Social às Famílas e Indivíduos em Situação de Vulnerabilidade Social - IPSFI [(S13+S14+S15+S16+S17+S18)/6]</t>
  </si>
  <si>
    <t>Natal: Crianças beneficiadas com brinquedo</t>
  </si>
  <si>
    <t>Natal: Visitantes na Vila do Papai Noel</t>
  </si>
  <si>
    <t>EIXO 4: Índice da Rede de Voluntariado, Investimento e Parcerias Sociais - IRVIPS [(S18+S19+S20+S21+S22+S23+S24)/7]</t>
  </si>
  <si>
    <t>EIXO 5: Índice de Integração ao Mundo do Trabalho - IIMT (S25)</t>
  </si>
  <si>
    <t>ÍNDICE GERAL DE DESEMPENHO [(EIXO1+EIXO2+EIXO3+EIXO4+EIXO5)]/5</t>
  </si>
  <si>
    <t>Diretora de Programas Especiais</t>
  </si>
  <si>
    <t>NOTAS EXPLICATIVAS</t>
  </si>
  <si>
    <t>No dia 10 de março de 2021, por meio do Ofício nº 097/2021 - DIGER (SEI nº 202100058000077), a OVG comunicou à SEAD sobre a possibilidade de comprometimento de algumas metas, em razão da continuidade da suspensão temporária e adequações em atividades diante das medidas de caráter preventivo para conter a propagação do novo Coronavírus, determinadas pelo Governo do Estado, através de decretos estaduais e Notas Técnicas da Secretaria Estadual de Saúde. As medidas vêm sendo tomadas desde o dia 16 de março de 2020 e, desde então, tivemos impacto no cumprimento das metas previstas nos aditivos ao Contrato de Gestão nº 001/2011.</t>
  </si>
  <si>
    <t>As atividades suspensas com metas pactuadas e readaptadas para atendimento e acompanhamento à distância foram: a) Idosos atendidos no Centro Dia e Centro de Convivência do Centro de Idosos Sagrada Família; b) Idosos atendidos no Centro de Convivência do Centro de Idosos Vila Vida; c) Idosos atendidos nos Centros de Convivência dos Espaços Bem Viver I e II; d) Adolescentes atendidos no Centro de Adolescentes Tecendo o Futuro; e) Adolescentes e jovens atendidas no Programa Meninas de Luz, por meio do Centro Social Dona Gercina Borges Teixeira.</t>
  </si>
  <si>
    <t>Mesmo que nosso público-alvo não possa participar de atividades presenciais nas unidades, houve o acompanhamento à distância por meio das tecnologias digitais (ligações, mensagens, grupos de WhatsApp e Zoom), desenvolvimento e adaptação de atividades para serem realizadas em casa, disponibilizadas nos grupos de WhatsApp e canal da OVG no YouTube, visitas domiciliares e/ou atendimento presencial, de acordo com as demandas, com todas as precauções necessárias, e agendamento para entrega dos enxovais de bebê, ações que podem ser conferidas nos Relatórios Gerenciais Mensais de Execução.
É importante ressaltar que o Programa Meninas de Luz sofreu uma grande redução na procura por atendimento, tendo em vista que as gestantes compõem o grupo de risco, dificultando também o acesso de novas jovens em situação de vulnerabilidade aos serviços oferecidos.</t>
  </si>
  <si>
    <t>No caso específico dos serviços de Convivência e Fortalecimento de Vínculos dos Centros de Idosos Sagrada Família e Vila Vida, os atendimentos bem abaixo do previsto aconteceram pois, além de serem unidades que atendem idosos institucionalizados e todo esforço da equipe ficar concentrado no cuidado e prevenção aos moradores (ILPI e Casa Lar), na primeira unidade, a adesão dos idosos às atividades on-line é dificultada pela característica dos usuários da região, que se interessam mais pelas atividades físicas presenciais. Já na segunda unidade, as atividades com maior número de participantes são o baile mensal e as tardes dançantes. Assim, mesmo com a oferta das atividades on-line, não foi possível alcançar todo o público atendido normalmente. É importante ressaltar que alguns idosos têm dificuldade de acesso à internet e aos recursos tecnológicos, o que também contribuiu para oscilações mensais nos atendimentos.
Esclarecemos, ainda, que a despesa realizada do Centro de Idosos Vila Vida ficou maior que a despesa planejada em razão da execução de obras que estavam previstas para serem realizadas no segundo semestre de 2020. Devido a pandemia, houve suspensão das atividades das empresas de engenharia em determinados períodos do ano passado pelos decretos estaduais e, portanto, as obras, como cobertura das piscinas, pergolado, rede complementar de captação de água pluvial, rede para cabeamento estruturado e rampas de acesso com guarda corpo, foram iniciadas em fevereiro de 2021. Portanto, faturadas neste primeiro semestre e impactando fortemente no resultado da Eficiência.</t>
  </si>
  <si>
    <t>Mesmo tendo sido mantidas, as atividades que sofreram impacto nas metas foram: a) Idosos moradores na ILPI e Casa Lar do Centro de Idosos Sagrada Família; b) Idosos moradores da Casa Lar do Centro de Idosos Vila Vida; c) Usuários acolhidos na Casa do Interior de Goiás; d) Número de estudantes atendidos pelo Programa Universitário do Bem. Os atendimentos dessas unidades e programa foram impactados, conforme registrado nos Relatórios Gerenciais Mensais. Ressalta-se que, diante da suspensão temporária e redução nos atendimentos, a OVG solicitou menos recursos financeiros para execução das atividades. Entretanto, muitas vezes, a diferença não ocorre na mesma proporção, pois muitas despesas fixas independem da quantidade de pessoas atendidas, como por exemplo: limpeza, segurança, internet, manutenção e limpeza das piscinas, coleta de lixo contaminante, dentre outras.</t>
  </si>
  <si>
    <t>A Casa do Interior adotou a Nota Técnica Pública CSIPS/GGTES/ANVISA n° 01/2020, cumprindo as orientações para prevenção e controle de infecções pelo novo Coronavírus em instituições de acolhimento, atuando com a oferta de 50% da sua capacidade de atendimento e acolhendo somente os pacientes que estavam em tratamento de oncologia, emergências e urgências, atendendo as considerações da OMS.</t>
  </si>
  <si>
    <t>Em relação ao Programa Universitário do Bem, as metas previstas na Proposta de Trabalho para 2021/1 sofreram impacto devido a não realização de processo seletivo para inclusão de novos bolsistas neste primeiro semestre. Estava previsto para o segundo semestre de 2020, a realização de Processo Seletivo para inclusão de cerca de 3.700 novos bolsistas. Contudo, diante das reformulações do Programa, adicionado ao cenário atípico de pandemia e todos os seus reflexos na economia do Estado, o governo orientou a OVG pela reprogramação da abertura de processo seletivo e incluirá novos bolsistas apenas em 2021/2. Isto posto, foi alterada a meta física no período de março a junho de 2021, com a pactuação do 17º Termo Aditivo, de 9.700 para 6.000 estudantes contemplados com bolsas universitárias, sendo realizada de forma proporcional a adequação orçamentária a menor nos valores de repasses solicitados mensalmente.</t>
  </si>
  <si>
    <t>Assim como nos dois últimos semestres, desde o início da pandemia, as pesquisas de satisfação aplicadas semestralmente com os usuários para mensurar a qualidade dos serviços prestados e compor os Indicadores de Desempenho estabelecidos no Anexo IV ao Contrato de Gestão - Da Sistemática de Acompanhamento e Avaliação dos Indicadores, foram aplicadas apenas para os atendimentos presenciais e para o Programa Universitário do Bem, cuja pesquisa é realizada via sistema informatizado. Com a impossibilidade de ofertar os serviços como efetivamente são pactuados, em virtude das medidas de caráter preventivo e a consequente suspensão dos atendimentos presenciais, não foi possível realizar pesquisas de satisfação com os idosos do Centro Dia e dos Centros de Convivência (CISF, CIVV, EBV I e EBV II) e com os adolescentes / jovens atendidos no Centro de Adolescentes Tecendo o Futuro e Centro Social Dona Gercina Borges. Isto posto, fica demonstrada a forma que a pandemia do novo Coronavírus prejudicou as dimensões da Qualidade, Eficácia e Eficiência das atividades desenvolvidas pela Organização neste semestre.</t>
  </si>
  <si>
    <t>No dia 25 de junho de 2021, a SEAD, via SEI nº 202100005015935, oficiou à OVG sobre o cancelamento da tradicional romaria do Divino Pai Eterno, o que gerou o descumprimento da meta prevista no 17º Termo Aditivo ao Contrato de Gestão nº 001/2011 e impossibilitou a medição do Indicador de Desempenho.
Em razão da pandemia, a Prefeitura Municipal de Trindade​ publicou o Decreto nº 2.337/21, datado de 10 de junho de 2021, para estabelecer proibições no município durante o período de 24 de junho a 05 de julho de 2021, considerando a Nota Técnica nº 013/2021, emitida pelo Gabinete de Operação de Emergência e Saúde - GOE-COVID-19, que recomendou medidas restritivas para evitar aglomerações, e que a Romaria do Divino Pai Eterno em 2021 fosse realizada exclusivamente na modalidade VIRTUAL. Diante disso, por meio dos Despachos ns. 135/2021 - CAACG- 15671 e 8.386/2021 - GAB, a Secretaria de Estado de Administração comunicou à OVG que, "...em razão de não haver instalação da estrutura e desenvolvimento das atividades do Centro de Apoio ao Romeiro de Trindade neste ano de 2021, o valor de R$ 219.600,00 (duzentos e dezenove mil e seiscentos reais) pactuado para a referida campanha/evento de proteção e inclusão social, no 17º aditivo ao Contrato de Gestão, não será repassado à OVG, tendo sido providenciada a anulação da nota de empenho nº 2021.1802.004.028 referente à pretensa despesa". Assim, a meta não pôde ser cumprida e os Indicadores de Desempenho pertinentes a esta ação, avaliados sob as dimensões de Qualidade, Eficácia, Eficiência e Economicidade, previstos no Anexo IV ao Contrato de Gestão - Da Sistemática de Acompanhamento e Avaliação dos Indicadores, não puderam ser mensurados.</t>
  </si>
  <si>
    <t>Diante disso, seguem os Indicadores de Desempenho do primeiro semestre de 2021, com as devidas Notas Explicativas, para avaliação dessa Secretaria de Administração / Comissão de Acompanhamento e Avaliação do Contrato de Gestão nº 001/2011 - SEAD / OVG.</t>
  </si>
  <si>
    <t xml:space="preserve">Rúbia Erika Prado Cardoso </t>
  </si>
  <si>
    <t>julho</t>
  </si>
  <si>
    <t>agosto</t>
  </si>
  <si>
    <t>setembro</t>
  </si>
  <si>
    <t>outubro</t>
  </si>
  <si>
    <t>novembro</t>
  </si>
  <si>
    <t>dezembro</t>
  </si>
  <si>
    <t>janeiro</t>
  </si>
  <si>
    <t>fevereiro</t>
  </si>
  <si>
    <t>março</t>
  </si>
  <si>
    <t>abril</t>
  </si>
  <si>
    <t>maio</t>
  </si>
  <si>
    <t>junho</t>
  </si>
  <si>
    <t>ESPECIFICAÇÃO</t>
  </si>
  <si>
    <t>PREVISÃO DE DESPESAS</t>
  </si>
  <si>
    <t>JULHO</t>
  </si>
  <si>
    <t>AGOSTO</t>
  </si>
  <si>
    <t>SETEMBRO</t>
  </si>
  <si>
    <t>OUTUBRO</t>
  </si>
  <si>
    <t>NOVEMBRO</t>
  </si>
  <si>
    <t>DEZEMBRO</t>
  </si>
  <si>
    <t>JANEIRO</t>
  </si>
  <si>
    <t>FEVEREIRO</t>
  </si>
  <si>
    <t>MARÇO</t>
  </si>
  <si>
    <t>ABRIL</t>
  </si>
  <si>
    <t>MAIO</t>
  </si>
  <si>
    <t>JUNHO</t>
  </si>
  <si>
    <t>TOTAL</t>
  </si>
  <si>
    <t>DESPESAS CORRENTES</t>
  </si>
  <si>
    <t>PESSOAL E ENCARGOS</t>
  </si>
  <si>
    <t>INVESTIMENTOS</t>
  </si>
  <si>
    <t>DESPESAS FINANCEIRAS</t>
  </si>
  <si>
    <t>PROTEÇÃO SOCIAL AO IDOSO</t>
  </si>
  <si>
    <t>CGSF</t>
  </si>
  <si>
    <t>CCIVV</t>
  </si>
  <si>
    <t>CCICM</t>
  </si>
  <si>
    <t>CCINF</t>
  </si>
  <si>
    <t>PROTEÇÃO SOCIAL AO ADOLESCENTE E JOVEM</t>
  </si>
  <si>
    <t>CCANM</t>
  </si>
  <si>
    <t>ATENÇÃO SOCIAL ÀS FAMÍLIAS EM SITUAÇÃO DE VULNERABILIDADE SOCIAL</t>
  </si>
  <si>
    <t>GERÊNCIA DE VOLUNTARIADO
E PARCERIAS SOCIAIS</t>
  </si>
  <si>
    <t>CAMPANHAS, EVENTOS DE PROTEÇÃO E
 INCLUSÃO SOCIAL</t>
  </si>
  <si>
    <t>CENTRO DE APOIO AOS ROMEIROS</t>
  </si>
  <si>
    <t>Número de romeiros apoiados no Centro de Apoio ao Romeiro na Romaria de Trindade</t>
  </si>
  <si>
    <t>Número de romeiros apoiados no Centro de Apoio ao Romeiro na Romaria de Muquém</t>
  </si>
  <si>
    <t>SHOW DE NATAL</t>
  </si>
  <si>
    <t>Número de crianças beneficiadas com brinquedo.</t>
  </si>
  <si>
    <t>Número de visitantes na Aldeia do Papai Noel</t>
  </si>
  <si>
    <t>PROTEÇÃO SOCIAL ÀS FAMÍLIA</t>
  </si>
  <si>
    <t>Número de acolhimentos na Casa do Interior</t>
  </si>
  <si>
    <t>SEGURANÇA ALIMENTAR</t>
  </si>
  <si>
    <t>RESTAURANTE CIDADÃO</t>
  </si>
  <si>
    <t>Valor Total de Gasto dos Restaurante</t>
  </si>
  <si>
    <t>Valor total das refeições servidas nas 12 (doze) unidades do Restaurante Cidadão (em funcionamento) PROTEGE</t>
  </si>
  <si>
    <t>Valor total das refeições servidas nas 02 (duas) unidades do Restaurante Cidadão (a implantar) PROTEGE</t>
  </si>
  <si>
    <t>Despesas Operacionais - PROTEGE</t>
  </si>
  <si>
    <t>Despesas Operacionais - TESOURO</t>
  </si>
  <si>
    <t>Despesas com Aluguel - PROTEGE</t>
  </si>
  <si>
    <t>APOIO A ESTUDANTES</t>
  </si>
  <si>
    <t>BOLSA UNIVERSITÁRIA</t>
  </si>
  <si>
    <t>Total de Despesas Bolsas Universitária 2019/2</t>
  </si>
  <si>
    <t>Despesas Bolsa Universitária Integral (2019/2)</t>
  </si>
  <si>
    <t>Despesas Bolsa Universitária Parcial (2019/2)</t>
  </si>
  <si>
    <t>Total de Despesas Bolsas Universitária 2020/1</t>
  </si>
  <si>
    <t>Despesas Bolsa Universitária Integral (2020/1)</t>
  </si>
  <si>
    <t>Despesas Bolsa Universitária Parcial (2020/1)</t>
  </si>
  <si>
    <t>SEDE</t>
  </si>
  <si>
    <t>Apoio Administrativo</t>
  </si>
  <si>
    <t>BANCO DE ALIMENTOS</t>
  </si>
  <si>
    <t>SANTO ANTÔNIO RESTAURANTE</t>
  </si>
  <si>
    <t>OVG</t>
  </si>
  <si>
    <t>VALOR GASTO 2018</t>
  </si>
  <si>
    <t>Valor 13 TA</t>
  </si>
  <si>
    <t xml:space="preserve">Valor anual 14 TA (COM ÀGUA E LUZ) </t>
  </si>
  <si>
    <t xml:space="preserve">Valor anual 14 TA (SEM ÀGUA E LUZ) </t>
  </si>
  <si>
    <t>TOTAL DO Contrato</t>
  </si>
  <si>
    <t>TOTAL DE DESPESAS - PESSOAL E ENCARGOS</t>
  </si>
  <si>
    <t>TOTAL DE DESPESAS - MANUTENÇÃO</t>
  </si>
  <si>
    <t>TOTAL DE DESPESAS - PROGRAMA BOLSA</t>
  </si>
  <si>
    <t>TOTAL DE DESPESAS - PROGRAMA RESTAURANTE</t>
  </si>
  <si>
    <t xml:space="preserve"> COMPLEXO GERONTOLÓGICO SAGRADA FAMÍLIA - CGSF</t>
  </si>
  <si>
    <t xml:space="preserve">CENTRO DE CONVIVÊNCIA DE IDOSOS VILA VIDA - CCIVV </t>
  </si>
  <si>
    <t xml:space="preserve"> CENTRO DE CONVIVÊNCIA DE IDOSOS CÂNDIDA DE MORAIS - CCICM </t>
  </si>
  <si>
    <t xml:space="preserve">CENTRO DE CONVIVÊNCIA DE IDOSOS NORTE FERROVIÁRIO - CCINF </t>
  </si>
  <si>
    <t>CENTRO DE CONVIVÊNCIA DE ADOLESCENTES NOVO MUNDO - CCANM</t>
  </si>
  <si>
    <t>CENTRO SOCIAL DONA GERCINA BORGES</t>
  </si>
  <si>
    <t>CASA DO INTERIOR DE GOIÁS</t>
  </si>
  <si>
    <t>CENTRO GOIANO DE VOLUNTÁRIOS - CGV</t>
  </si>
  <si>
    <t>GERÊNCIA DE ASSESSORAMENTO E BENEFICÍO - SERVIÇOS</t>
  </si>
  <si>
    <t>NATAL OVG</t>
  </si>
  <si>
    <t>DESPESAS MUQUEM</t>
  </si>
  <si>
    <t>DESPESAS TRINDADE</t>
  </si>
  <si>
    <t>RESTAURANTE CIDADÃO (DESPESAS OPERACIONAIS)</t>
  </si>
  <si>
    <t>RESTAURANTE CIDADÃO (DESPESAS COM REFEIÇÕES)</t>
  </si>
  <si>
    <t>RESTAURANTE CIDADÃO (DESPESAS COM ALUGUEL)</t>
  </si>
  <si>
    <t>RESTAURANTE CIDADÃO (DESPESAS COM TESOURO)</t>
  </si>
  <si>
    <t>BOLSA UNIVERSITÁRIA (DESPESAS Operacionais)</t>
  </si>
  <si>
    <t>DESPESAS COM BOLSA ESTUDANTIL</t>
  </si>
  <si>
    <t>SEDE - DESPESAS DE APOIO ADMINISTRATIVO</t>
  </si>
  <si>
    <t xml:space="preserve">Valor anual 14 TA </t>
  </si>
  <si>
    <t xml:space="preserve">RESTAURANTE CIDADÃO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</si>
</sst>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_-&quot;R$ &quot;* #,##0.00_-;&quot;-R$ &quot;* #,##0.00_-;_-&quot;R$ &quot;* \-??_-;_-@_-"/>
    <numFmt numFmtId="166" formatCode="#,##0.0"/>
    <numFmt numFmtId="167" formatCode="#,##0.000"/>
    <numFmt numFmtId="168" formatCode="#,##0.0000"/>
    <numFmt numFmtId="169" formatCode="&quot;R$&quot;\ #,##0.00"/>
    <numFmt numFmtId="170" formatCode="0.0"/>
    <numFmt numFmtId="171" formatCode="0.000"/>
    <numFmt numFmtId="172" formatCode="0.000%"/>
    <numFmt numFmtId="173" formatCode="#,##0.0_ ;\-#,##0.0\ "/>
  </numFmts>
  <fonts count="60" x14ac:knownFonts="1">
    <font>
      <sz val="11"/>
      <color indexed="8"/>
      <name val="Calibri"/>
      <family val="2"/>
      <charset val="1"/>
    </font>
    <font>
      <sz val="10"/>
      <name val="Arial"/>
    </font>
    <font>
      <sz val="11"/>
      <color indexed="8"/>
      <name val="Calibri"/>
      <family val="2"/>
    </font>
    <font>
      <b/>
      <sz val="18"/>
      <color indexed="56"/>
      <name val="Cambria"/>
      <family val="2"/>
    </font>
    <font>
      <sz val="11"/>
      <color indexed="8"/>
      <name val="Calibri"/>
      <family val="2"/>
      <charset val="1"/>
    </font>
    <font>
      <b/>
      <sz val="10"/>
      <color indexed="8"/>
      <name val="Arial"/>
      <family val="2"/>
    </font>
    <font>
      <b/>
      <sz val="11"/>
      <color indexed="8"/>
      <name val="Arial"/>
      <family val="2"/>
    </font>
    <font>
      <sz val="8"/>
      <color indexed="8"/>
      <name val="Arial"/>
      <family val="2"/>
    </font>
    <font>
      <b/>
      <sz val="8"/>
      <color indexed="8"/>
      <name val="Arial"/>
      <family val="2"/>
    </font>
    <font>
      <sz val="8"/>
      <name val="Arial"/>
      <family val="2"/>
    </font>
    <font>
      <sz val="8"/>
      <color indexed="8"/>
      <name val="Calibri"/>
      <family val="2"/>
      <charset val="1"/>
    </font>
    <font>
      <u val="singleAccounting"/>
      <sz val="8"/>
      <name val="Arial"/>
      <family val="2"/>
    </font>
    <font>
      <b/>
      <sz val="6"/>
      <color indexed="8"/>
      <name val="Arial"/>
      <family val="2"/>
    </font>
    <font>
      <sz val="7"/>
      <color indexed="8"/>
      <name val="Arial"/>
      <family val="2"/>
    </font>
    <font>
      <sz val="7"/>
      <color indexed="8"/>
      <name val="Calibri"/>
      <family val="2"/>
      <charset val="1"/>
    </font>
    <font>
      <b/>
      <sz val="10"/>
      <color indexed="8"/>
      <name val="Calibri"/>
      <family val="2"/>
    </font>
    <font>
      <b/>
      <sz val="12"/>
      <color indexed="8"/>
      <name val="Calibri"/>
      <family val="2"/>
    </font>
    <font>
      <sz val="10"/>
      <name val="Arial"/>
      <family val="2"/>
    </font>
    <font>
      <b/>
      <sz val="11"/>
      <color indexed="8"/>
      <name val="Calibri"/>
      <family val="2"/>
    </font>
    <font>
      <sz val="10"/>
      <color indexed="8"/>
      <name val="Arial"/>
      <family val="2"/>
    </font>
    <font>
      <sz val="10"/>
      <color indexed="8"/>
      <name val="Calibri"/>
      <family val="2"/>
      <charset val="1"/>
    </font>
    <font>
      <b/>
      <sz val="10"/>
      <name val="Arial"/>
      <family val="2"/>
    </font>
    <font>
      <b/>
      <sz val="12"/>
      <color indexed="8"/>
      <name val="Arial"/>
      <family val="2"/>
    </font>
    <font>
      <b/>
      <sz val="12"/>
      <name val="Arial"/>
      <family val="2"/>
    </font>
    <font>
      <sz val="12"/>
      <name val="Arial"/>
      <family val="2"/>
    </font>
    <font>
      <sz val="14"/>
      <color indexed="8"/>
      <name val="Times New Roman"/>
      <family val="1"/>
    </font>
    <font>
      <sz val="10"/>
      <name val="Calibri"/>
      <family val="2"/>
      <charset val="1"/>
    </font>
    <font>
      <b/>
      <sz val="10"/>
      <name val="Calibri"/>
      <family val="2"/>
    </font>
    <font>
      <sz val="12"/>
      <color indexed="8"/>
      <name val="Arial"/>
      <family val="2"/>
    </font>
    <font>
      <sz val="11"/>
      <color indexed="8"/>
      <name val="Arial"/>
      <family val="2"/>
    </font>
    <font>
      <sz val="14"/>
      <color indexed="8"/>
      <name val="Arial"/>
      <family val="2"/>
    </font>
    <font>
      <sz val="14"/>
      <color indexed="8"/>
      <name val="Calibri"/>
      <family val="2"/>
      <charset val="1"/>
    </font>
    <font>
      <sz val="12"/>
      <color indexed="8"/>
      <name val="Calibri"/>
      <family val="2"/>
      <charset val="1"/>
    </font>
    <font>
      <sz val="11"/>
      <name val="Arial"/>
      <family val="2"/>
    </font>
    <font>
      <sz val="11"/>
      <color theme="1"/>
      <name val="Calibri"/>
      <family val="2"/>
      <scheme val="minor"/>
    </font>
    <font>
      <sz val="11"/>
      <color rgb="FF000000"/>
      <name val="Calibri"/>
      <family val="2"/>
      <charset val="1"/>
    </font>
    <font>
      <sz val="11"/>
      <color rgb="FFFF0000"/>
      <name val="Calibri"/>
      <family val="2"/>
      <scheme val="minor"/>
    </font>
    <font>
      <b/>
      <sz val="11"/>
      <color theme="1"/>
      <name val="Calibri"/>
      <family val="2"/>
      <scheme val="minor"/>
    </font>
    <font>
      <sz val="8"/>
      <color theme="1"/>
      <name val="Arial"/>
      <family val="2"/>
    </font>
    <font>
      <sz val="7"/>
      <color theme="1"/>
      <name val="Arial"/>
      <family val="2"/>
    </font>
    <font>
      <sz val="10"/>
      <color rgb="FFFF0000"/>
      <name val="Arial"/>
      <family val="2"/>
    </font>
    <font>
      <b/>
      <sz val="10"/>
      <color theme="1"/>
      <name val="Times New Roman"/>
      <family val="1"/>
    </font>
    <font>
      <sz val="10"/>
      <color theme="1"/>
      <name val="Times New Roman"/>
      <family val="1"/>
    </font>
    <font>
      <sz val="10"/>
      <color rgb="FFFF0000"/>
      <name val="Calibri"/>
      <family val="2"/>
      <charset val="1"/>
    </font>
    <font>
      <sz val="10"/>
      <color theme="3" tint="0.39997558519241921"/>
      <name val="Arial"/>
      <family val="2"/>
    </font>
    <font>
      <sz val="12"/>
      <color theme="1"/>
      <name val="Times New Roman"/>
      <family val="1"/>
    </font>
    <font>
      <i/>
      <sz val="12"/>
      <color theme="1"/>
      <name val="Times New Roman"/>
      <family val="1"/>
    </font>
    <font>
      <sz val="14"/>
      <color theme="1"/>
      <name val="Times New Roman"/>
      <family val="1"/>
    </font>
    <font>
      <b/>
      <sz val="10"/>
      <color rgb="FF0070C0"/>
      <name val="Arial"/>
      <family val="2"/>
    </font>
    <font>
      <sz val="11"/>
      <color rgb="FFFF0000"/>
      <name val="Calibri"/>
      <family val="2"/>
      <charset val="1"/>
    </font>
    <font>
      <sz val="12"/>
      <color theme="1"/>
      <name val="Arial"/>
      <family val="2"/>
    </font>
    <font>
      <sz val="12"/>
      <color theme="3" tint="0.39997558519241921"/>
      <name val="Arial"/>
      <family val="2"/>
    </font>
    <font>
      <b/>
      <sz val="13"/>
      <color rgb="FF000000"/>
      <name val="Times New Roman"/>
      <family val="1"/>
    </font>
    <font>
      <b/>
      <sz val="12"/>
      <color theme="1"/>
      <name val="Arial"/>
      <family val="2"/>
    </font>
    <font>
      <sz val="12"/>
      <color rgb="FF0070C0"/>
      <name val="Arial"/>
      <family val="2"/>
    </font>
    <font>
      <sz val="10"/>
      <color rgb="FF000000"/>
      <name val="Arial"/>
      <family val="2"/>
    </font>
    <font>
      <sz val="12"/>
      <color rgb="FF000000"/>
      <name val="Arial"/>
      <family val="2"/>
    </font>
    <font>
      <b/>
      <sz val="10"/>
      <color theme="1"/>
      <name val="Arial"/>
      <family val="2"/>
    </font>
    <font>
      <b/>
      <sz val="8"/>
      <color theme="1"/>
      <name val="Arial"/>
      <family val="2"/>
    </font>
    <font>
      <b/>
      <sz val="11"/>
      <color theme="1"/>
      <name val="Times New Roman"/>
      <family val="1"/>
    </font>
  </fonts>
  <fills count="1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bgColor indexed="26"/>
      </patternFill>
    </fill>
    <fill>
      <patternFill patternType="solid">
        <fgColor theme="0" tint="-4.9989318521683403E-2"/>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1"/>
        <bgColor indexed="64"/>
      </patternFill>
    </fill>
  </fills>
  <borders count="48">
    <border>
      <left/>
      <right/>
      <top/>
      <bottom/>
      <diagonal/>
    </border>
    <border>
      <left/>
      <right style="thin">
        <color indexed="64"/>
      </right>
      <top style="thick">
        <color indexed="64"/>
      </top>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bottom/>
      <diagonal/>
    </border>
    <border>
      <left style="thin">
        <color indexed="64"/>
      </left>
      <right style="thin">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style="thin">
        <color indexed="64"/>
      </right>
      <top/>
      <bottom style="thick">
        <color indexed="64"/>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style="thick">
        <color indexed="64"/>
      </top>
      <bottom/>
      <diagonal/>
    </border>
    <border>
      <left style="double">
        <color indexed="64"/>
      </left>
      <right style="double">
        <color indexed="64"/>
      </right>
      <top style="double">
        <color indexed="64"/>
      </top>
      <bottom style="double">
        <color indexed="64"/>
      </bottom>
      <diagonal/>
    </border>
    <border>
      <left style="double">
        <color indexed="64"/>
      </left>
      <right/>
      <top/>
      <bottom style="double">
        <color indexed="64"/>
      </bottom>
      <diagonal/>
    </border>
    <border>
      <left/>
      <right/>
      <top/>
      <bottom style="double">
        <color indexed="64"/>
      </bottom>
      <diagonal/>
    </border>
    <border>
      <left style="double">
        <color indexed="64"/>
      </left>
      <right style="double">
        <color indexed="64"/>
      </right>
      <top style="double">
        <color indexed="64"/>
      </top>
      <bottom/>
      <diagonal/>
    </border>
    <border>
      <left style="slantDashDot">
        <color indexed="64"/>
      </left>
      <right style="slantDashDot">
        <color indexed="64"/>
      </right>
      <top style="slantDashDot">
        <color indexed="64"/>
      </top>
      <bottom style="slantDashDot">
        <color indexed="64"/>
      </bottom>
      <diagonal/>
    </border>
    <border>
      <left style="double">
        <color indexed="64"/>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64"/>
      </top>
      <bottom/>
      <diagonal/>
    </border>
    <border>
      <left style="double">
        <color indexed="64"/>
      </left>
      <right/>
      <top/>
      <bottom/>
      <diagonal/>
    </border>
    <border>
      <left/>
      <right style="double">
        <color indexed="64"/>
      </right>
      <top/>
      <bottom/>
      <diagonal/>
    </border>
    <border>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thick">
        <color indexed="64"/>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double">
        <color theme="6" tint="-0.24994659260841701"/>
      </left>
      <right style="double">
        <color theme="6" tint="-0.24994659260841701"/>
      </right>
      <top style="double">
        <color theme="6" tint="-0.24994659260841701"/>
      </top>
      <bottom style="double">
        <color theme="6" tint="-0.24994659260841701"/>
      </bottom>
      <diagonal/>
    </border>
    <border>
      <left style="double">
        <color theme="6" tint="-0.24994659260841701"/>
      </left>
      <right style="double">
        <color theme="6" tint="-0.24994659260841701"/>
      </right>
      <top style="double">
        <color theme="6" tint="-0.24994659260841701"/>
      </top>
      <bottom/>
      <diagonal/>
    </border>
    <border>
      <left/>
      <right style="double">
        <color theme="6" tint="-0.24994659260841701"/>
      </right>
      <top style="double">
        <color theme="6" tint="-0.24994659260841701"/>
      </top>
      <bottom style="double">
        <color theme="6" tint="-0.24994659260841701"/>
      </bottom>
      <diagonal/>
    </border>
    <border>
      <left style="double">
        <color theme="6" tint="-0.24994659260841701"/>
      </left>
      <right/>
      <top style="double">
        <color theme="6" tint="-0.24994659260841701"/>
      </top>
      <bottom style="double">
        <color theme="6" tint="-0.24994659260841701"/>
      </bottom>
      <diagonal/>
    </border>
    <border>
      <left/>
      <right/>
      <top style="double">
        <color theme="6" tint="-0.24994659260841701"/>
      </top>
      <bottom style="double">
        <color theme="6" tint="-0.24994659260841701"/>
      </bottom>
      <diagonal/>
    </border>
    <border>
      <left style="double">
        <color theme="6" tint="-0.24994659260841701"/>
      </left>
      <right style="double">
        <color theme="6" tint="-0.24994659260841701"/>
      </right>
      <top/>
      <bottom/>
      <diagonal/>
    </border>
    <border>
      <left style="double">
        <color theme="6" tint="-0.24994659260841701"/>
      </left>
      <right style="double">
        <color theme="6" tint="-0.24994659260841701"/>
      </right>
      <top/>
      <bottom style="double">
        <color theme="6" tint="-0.24994659260841701"/>
      </bottom>
      <diagonal/>
    </border>
  </borders>
  <cellStyleXfs count="42">
    <xf numFmtId="0" fontId="0" fillId="0" borderId="0"/>
    <xf numFmtId="0" fontId="2" fillId="0" borderId="0"/>
    <xf numFmtId="44" fontId="1" fillId="0" borderId="0" applyFill="0" applyBorder="0" applyAlignment="0" applyProtection="0"/>
    <xf numFmtId="165" fontId="35" fillId="0" borderId="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65" fontId="35" fillId="0" borderId="0"/>
    <xf numFmtId="44" fontId="17" fillId="0" borderId="0" applyFont="0" applyFill="0" applyBorder="0" applyAlignment="0" applyProtection="0"/>
    <xf numFmtId="44" fontId="17"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7" fillId="0" borderId="0" applyFill="0" applyBorder="0" applyAlignment="0" applyProtection="0"/>
    <xf numFmtId="0" fontId="2" fillId="0" borderId="0"/>
    <xf numFmtId="0" fontId="35" fillId="0" borderId="0"/>
    <xf numFmtId="0" fontId="4" fillId="0" borderId="0"/>
    <xf numFmtId="0" fontId="34" fillId="0" borderId="0"/>
    <xf numFmtId="9" fontId="1" fillId="0" borderId="0" applyFill="0" applyBorder="0" applyAlignment="0" applyProtection="0"/>
    <xf numFmtId="9" fontId="34" fillId="0" borderId="0" applyFont="0" applyFill="0" applyBorder="0" applyAlignment="0" applyProtection="0"/>
    <xf numFmtId="9" fontId="17" fillId="0" borderId="0" applyFill="0" applyBorder="0" applyAlignment="0" applyProtection="0"/>
    <xf numFmtId="0" fontId="3" fillId="0" borderId="0"/>
    <xf numFmtId="43" fontId="1" fillId="0" borderId="0" applyFill="0" applyBorder="0" applyAlignment="0" applyProtection="0"/>
    <xf numFmtId="43" fontId="17" fillId="0" borderId="0" applyFill="0" applyBorder="0" applyAlignment="0" applyProtection="0"/>
    <xf numFmtId="43" fontId="17" fillId="0" borderId="0" applyFill="0" applyBorder="0" applyAlignment="0" applyProtection="0"/>
    <xf numFmtId="43" fontId="17" fillId="0" borderId="0" applyFill="0" applyBorder="0" applyAlignment="0" applyProtection="0"/>
    <xf numFmtId="43" fontId="17"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7" fillId="0" borderId="0" applyFill="0" applyBorder="0" applyAlignment="0" applyProtection="0"/>
  </cellStyleXfs>
  <cellXfs count="450">
    <xf numFmtId="0" fontId="0" fillId="0" borderId="0" xfId="0"/>
    <xf numFmtId="0" fontId="7" fillId="0" borderId="0" xfId="0" applyFont="1" applyAlignment="1">
      <alignment horizontal="justify" vertical="center" wrapText="1"/>
    </xf>
    <xf numFmtId="44" fontId="0" fillId="0" borderId="0" xfId="0" applyNumberFormat="1"/>
    <xf numFmtId="0" fontId="7" fillId="0" borderId="0" xfId="0" applyFont="1"/>
    <xf numFmtId="4" fontId="8" fillId="2" borderId="1" xfId="0" applyNumberFormat="1" applyFont="1" applyFill="1" applyBorder="1" applyAlignment="1">
      <alignment horizontal="right" vertical="center" wrapText="1"/>
    </xf>
    <xf numFmtId="4" fontId="8" fillId="2" borderId="1" xfId="0" applyNumberFormat="1" applyFont="1" applyFill="1" applyBorder="1" applyAlignment="1">
      <alignment vertical="center" wrapText="1"/>
    </xf>
    <xf numFmtId="0" fontId="9" fillId="3" borderId="2" xfId="26" applyFont="1" applyFill="1" applyBorder="1" applyAlignment="1">
      <alignment horizontal="justify" vertical="center" wrapText="1"/>
    </xf>
    <xf numFmtId="44" fontId="9" fillId="0" borderId="2" xfId="2" applyFont="1" applyBorder="1" applyAlignment="1">
      <alignment vertical="center"/>
    </xf>
    <xf numFmtId="44" fontId="9" fillId="0" borderId="2" xfId="2" applyFont="1" applyBorder="1" applyAlignment="1">
      <alignment horizontal="center"/>
    </xf>
    <xf numFmtId="0" fontId="10" fillId="0" borderId="0" xfId="0" applyFont="1"/>
    <xf numFmtId="0" fontId="9" fillId="3" borderId="3" xfId="26" applyFont="1" applyFill="1" applyBorder="1" applyAlignment="1">
      <alignment horizontal="justify" vertical="center" wrapText="1"/>
    </xf>
    <xf numFmtId="44" fontId="9" fillId="0" borderId="3" xfId="2" applyFont="1" applyBorder="1" applyAlignment="1">
      <alignment vertical="center"/>
    </xf>
    <xf numFmtId="0" fontId="9" fillId="4" borderId="3" xfId="26" applyFont="1" applyFill="1" applyBorder="1" applyAlignment="1">
      <alignment horizontal="justify" vertical="center" wrapText="1"/>
    </xf>
    <xf numFmtId="0" fontId="9" fillId="0" borderId="3" xfId="26" applyFont="1" applyBorder="1" applyAlignment="1">
      <alignment horizontal="justify" vertical="center" wrapText="1"/>
    </xf>
    <xf numFmtId="44" fontId="9" fillId="0" borderId="3" xfId="2" applyFont="1" applyBorder="1"/>
    <xf numFmtId="0" fontId="9" fillId="4" borderId="4" xfId="26" applyFont="1" applyFill="1" applyBorder="1" applyAlignment="1">
      <alignment horizontal="justify" vertical="center" wrapText="1"/>
    </xf>
    <xf numFmtId="44" fontId="9" fillId="0" borderId="4" xfId="2" applyFont="1" applyBorder="1" applyAlignment="1">
      <alignment vertical="center"/>
    </xf>
    <xf numFmtId="44" fontId="9" fillId="0" borderId="4" xfId="2" applyFont="1" applyBorder="1"/>
    <xf numFmtId="0" fontId="9" fillId="3" borderId="2" xfId="0" applyFont="1" applyFill="1" applyBorder="1" applyAlignment="1">
      <alignment horizontal="justify" vertical="center" wrapText="1"/>
    </xf>
    <xf numFmtId="44" fontId="9" fillId="0" borderId="2" xfId="2" applyFont="1" applyBorder="1"/>
    <xf numFmtId="0" fontId="38" fillId="0" borderId="2" xfId="26" applyFont="1" applyBorder="1" applyAlignment="1">
      <alignment horizontal="justify" vertical="center" wrapText="1"/>
    </xf>
    <xf numFmtId="44" fontId="9" fillId="0" borderId="5" xfId="2" applyFont="1" applyBorder="1" applyAlignment="1">
      <alignment vertical="center"/>
    </xf>
    <xf numFmtId="44" fontId="9" fillId="0" borderId="6" xfId="2" applyFont="1" applyBorder="1" applyAlignment="1">
      <alignment vertical="center"/>
    </xf>
    <xf numFmtId="0" fontId="9" fillId="3" borderId="7" xfId="26" applyFont="1" applyFill="1" applyBorder="1" applyAlignment="1">
      <alignment horizontal="justify" vertical="center" wrapText="1"/>
    </xf>
    <xf numFmtId="44" fontId="9" fillId="0" borderId="7" xfId="2" applyFont="1" applyBorder="1" applyAlignment="1">
      <alignment vertical="center"/>
    </xf>
    <xf numFmtId="44" fontId="9" fillId="0" borderId="7" xfId="2" applyFont="1" applyBorder="1"/>
    <xf numFmtId="0" fontId="7" fillId="0" borderId="2" xfId="26" applyFont="1" applyBorder="1" applyAlignment="1">
      <alignment horizontal="justify" vertical="center" wrapText="1"/>
    </xf>
    <xf numFmtId="0" fontId="7" fillId="0" borderId="3" xfId="26" applyFont="1" applyBorder="1" applyAlignment="1">
      <alignment horizontal="justify" vertical="center" wrapText="1"/>
    </xf>
    <xf numFmtId="0" fontId="7" fillId="4" borderId="3" xfId="26" applyFont="1" applyFill="1" applyBorder="1" applyAlignment="1">
      <alignment horizontal="justify" vertical="center" wrapText="1"/>
    </xf>
    <xf numFmtId="0" fontId="7" fillId="3" borderId="4" xfId="26" applyFont="1" applyFill="1" applyBorder="1" applyAlignment="1">
      <alignment horizontal="justify" vertical="center" wrapText="1"/>
    </xf>
    <xf numFmtId="0" fontId="7" fillId="3" borderId="8" xfId="26" applyFont="1" applyFill="1" applyBorder="1" applyAlignment="1">
      <alignment horizontal="justify" vertical="center" wrapText="1"/>
    </xf>
    <xf numFmtId="0" fontId="7" fillId="3" borderId="2" xfId="26" applyFont="1" applyFill="1" applyBorder="1" applyAlignment="1">
      <alignment horizontal="justify" vertical="center" wrapText="1"/>
    </xf>
    <xf numFmtId="0" fontId="7" fillId="3" borderId="3" xfId="26" applyFont="1" applyFill="1" applyBorder="1" applyAlignment="1">
      <alignment horizontal="justify" vertical="center" wrapText="1"/>
    </xf>
    <xf numFmtId="44" fontId="9" fillId="0" borderId="6" xfId="2" applyFont="1" applyBorder="1"/>
    <xf numFmtId="44" fontId="9" fillId="0" borderId="5" xfId="2" applyFont="1" applyBorder="1"/>
    <xf numFmtId="0" fontId="7" fillId="4" borderId="6" xfId="26" applyFont="1" applyFill="1" applyBorder="1" applyAlignment="1">
      <alignment horizontal="justify" vertical="center" wrapText="1"/>
    </xf>
    <xf numFmtId="0" fontId="7" fillId="0" borderId="7" xfId="26" applyFont="1" applyBorder="1" applyAlignment="1">
      <alignment horizontal="justify" vertical="center" wrapText="1"/>
    </xf>
    <xf numFmtId="44" fontId="9" fillId="0" borderId="7" xfId="2" applyFont="1" applyBorder="1" applyAlignment="1">
      <alignment horizontal="center" vertical="center"/>
    </xf>
    <xf numFmtId="0" fontId="7" fillId="0" borderId="0" xfId="0" applyFont="1" applyAlignment="1">
      <alignment vertical="center"/>
    </xf>
    <xf numFmtId="44" fontId="9" fillId="5" borderId="5" xfId="2" applyFont="1" applyFill="1" applyBorder="1" applyAlignment="1">
      <alignment vertical="center"/>
    </xf>
    <xf numFmtId="44" fontId="11" fillId="0" borderId="5" xfId="2" applyFont="1" applyBorder="1" applyAlignment="1">
      <alignment vertical="center"/>
    </xf>
    <xf numFmtId="44" fontId="11" fillId="5" borderId="5" xfId="2" applyFont="1" applyFill="1" applyBorder="1" applyAlignment="1">
      <alignment vertical="center"/>
    </xf>
    <xf numFmtId="44" fontId="9" fillId="5" borderId="7" xfId="2" applyFont="1" applyFill="1" applyBorder="1" applyAlignment="1">
      <alignment vertical="center"/>
    </xf>
    <xf numFmtId="44" fontId="9" fillId="5" borderId="3" xfId="2" applyFont="1" applyFill="1" applyBorder="1" applyAlignment="1">
      <alignment vertical="center"/>
    </xf>
    <xf numFmtId="44" fontId="9" fillId="5" borderId="4" xfId="2" applyFont="1" applyFill="1" applyBorder="1" applyAlignment="1">
      <alignment vertical="center"/>
    </xf>
    <xf numFmtId="44" fontId="9" fillId="5" borderId="2" xfId="2" applyFont="1" applyFill="1" applyBorder="1" applyAlignment="1">
      <alignment vertical="center"/>
    </xf>
    <xf numFmtId="44" fontId="9" fillId="5" borderId="6" xfId="2" applyFont="1" applyFill="1" applyBorder="1" applyAlignment="1">
      <alignment vertical="center"/>
    </xf>
    <xf numFmtId="44" fontId="11" fillId="0" borderId="2" xfId="2" applyFont="1" applyBorder="1" applyAlignment="1">
      <alignment horizontal="center" vertical="center"/>
    </xf>
    <xf numFmtId="44" fontId="11" fillId="5" borderId="2" xfId="2" applyFont="1" applyFill="1" applyBorder="1" applyAlignment="1">
      <alignment horizontal="center" vertical="center"/>
    </xf>
    <xf numFmtId="44" fontId="11" fillId="0" borderId="2" xfId="2" applyFont="1" applyBorder="1" applyAlignment="1">
      <alignment vertical="center"/>
    </xf>
    <xf numFmtId="0" fontId="12" fillId="2" borderId="9" xfId="0" applyFont="1" applyFill="1" applyBorder="1" applyAlignment="1">
      <alignment horizontal="center" vertical="center" wrapText="1"/>
    </xf>
    <xf numFmtId="0" fontId="12" fillId="2" borderId="10"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center" vertical="center" textRotation="90" wrapText="1"/>
    </xf>
    <xf numFmtId="0" fontId="39" fillId="3" borderId="7" xfId="0" applyFont="1" applyFill="1" applyBorder="1" applyAlignment="1">
      <alignment horizontal="center" vertical="center" textRotation="90" wrapText="1"/>
    </xf>
    <xf numFmtId="0" fontId="13" fillId="3" borderId="7" xfId="0" applyFont="1" applyFill="1" applyBorder="1" applyAlignment="1">
      <alignment horizontal="center" vertical="center" textRotation="90" wrapText="1"/>
    </xf>
    <xf numFmtId="0" fontId="14" fillId="0" borderId="0" xfId="0" applyFont="1"/>
    <xf numFmtId="44" fontId="9" fillId="5" borderId="2" xfId="2" applyFont="1" applyFill="1" applyBorder="1" applyAlignment="1">
      <alignment horizontal="center" vertical="center"/>
    </xf>
    <xf numFmtId="0" fontId="39" fillId="3" borderId="3" xfId="0" applyFont="1" applyFill="1" applyBorder="1" applyAlignment="1">
      <alignment horizontal="center" vertical="center" textRotation="90" wrapText="1"/>
    </xf>
    <xf numFmtId="0" fontId="39" fillId="3" borderId="4" xfId="0" applyFont="1" applyFill="1" applyBorder="1" applyAlignment="1">
      <alignment horizontal="center" vertical="center" textRotation="90" wrapText="1"/>
    </xf>
    <xf numFmtId="44" fontId="15" fillId="6" borderId="7" xfId="0" applyNumberFormat="1" applyFont="1" applyFill="1" applyBorder="1"/>
    <xf numFmtId="0" fontId="12" fillId="2" borderId="12"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12" fillId="2" borderId="14" xfId="0" applyFont="1" applyFill="1" applyBorder="1" applyAlignment="1">
      <alignment horizontal="center" vertical="center" wrapText="1"/>
    </xf>
    <xf numFmtId="44" fontId="11" fillId="0" borderId="3" xfId="2" applyFont="1" applyBorder="1" applyAlignment="1">
      <alignment vertical="center"/>
    </xf>
    <xf numFmtId="0" fontId="8" fillId="6" borderId="7" xfId="0" applyFont="1" applyFill="1" applyBorder="1" applyAlignment="1">
      <alignment horizontal="center" vertical="center"/>
    </xf>
    <xf numFmtId="4" fontId="8" fillId="6" borderId="1" xfId="0" applyNumberFormat="1" applyFont="1" applyFill="1" applyBorder="1" applyAlignment="1">
      <alignment vertical="center" wrapText="1"/>
    </xf>
    <xf numFmtId="44" fontId="9" fillId="6" borderId="3" xfId="2" applyFont="1" applyFill="1" applyBorder="1" applyAlignment="1">
      <alignment vertical="center"/>
    </xf>
    <xf numFmtId="44" fontId="9" fillId="6" borderId="4" xfId="2" applyFont="1" applyFill="1" applyBorder="1" applyAlignment="1">
      <alignment vertical="center"/>
    </xf>
    <xf numFmtId="44" fontId="9" fillId="6" borderId="2" xfId="2" applyFont="1" applyFill="1" applyBorder="1" applyAlignment="1">
      <alignment vertical="center"/>
    </xf>
    <xf numFmtId="44" fontId="9" fillId="6" borderId="7" xfId="2" applyFont="1" applyFill="1" applyBorder="1" applyAlignment="1">
      <alignment vertical="center"/>
    </xf>
    <xf numFmtId="44" fontId="10" fillId="0" borderId="0" xfId="0" applyNumberFormat="1" applyFont="1"/>
    <xf numFmtId="44" fontId="1" fillId="0" borderId="0" xfId="2"/>
    <xf numFmtId="44" fontId="7" fillId="0" borderId="0" xfId="0" applyNumberFormat="1" applyFont="1"/>
    <xf numFmtId="44" fontId="1" fillId="0" borderId="0" xfId="2" applyAlignment="1">
      <alignment horizontal="center" vertical="center" wrapText="1"/>
    </xf>
    <xf numFmtId="44" fontId="1" fillId="0" borderId="0" xfId="2" applyAlignment="1">
      <alignment horizontal="center" vertical="center" textRotation="90" wrapText="1"/>
    </xf>
    <xf numFmtId="44" fontId="1" fillId="0" borderId="0" xfId="2" applyAlignment="1">
      <alignment horizontal="justify" vertical="center" wrapText="1"/>
    </xf>
    <xf numFmtId="44" fontId="1" fillId="0" borderId="0" xfId="2" applyBorder="1" applyAlignment="1">
      <alignment vertical="center"/>
    </xf>
    <xf numFmtId="44" fontId="40" fillId="0" borderId="0" xfId="2" applyFont="1"/>
    <xf numFmtId="44" fontId="9" fillId="0" borderId="15" xfId="2" applyFont="1" applyBorder="1" applyAlignment="1">
      <alignment vertical="center"/>
    </xf>
    <xf numFmtId="44" fontId="9" fillId="0" borderId="15" xfId="2" applyFont="1" applyBorder="1" applyAlignment="1">
      <alignment horizontal="center" vertical="center"/>
    </xf>
    <xf numFmtId="44" fontId="9" fillId="5" borderId="15" xfId="2" applyFont="1" applyFill="1" applyBorder="1" applyAlignment="1">
      <alignment horizontal="center" vertical="center"/>
    </xf>
    <xf numFmtId="44" fontId="9" fillId="5" borderId="5" xfId="2" applyFont="1" applyFill="1" applyBorder="1" applyAlignment="1">
      <alignment horizontal="center" vertical="center"/>
    </xf>
    <xf numFmtId="44" fontId="9" fillId="5" borderId="3" xfId="2" applyFont="1" applyFill="1" applyBorder="1" applyAlignment="1">
      <alignment horizontal="center" vertical="center"/>
    </xf>
    <xf numFmtId="0" fontId="39" fillId="3" borderId="2" xfId="0" applyFont="1" applyFill="1" applyBorder="1" applyAlignment="1">
      <alignment horizontal="center" vertical="center" textRotation="90" wrapText="1"/>
    </xf>
    <xf numFmtId="44" fontId="9" fillId="0" borderId="3" xfId="2" applyFont="1" applyBorder="1" applyAlignment="1">
      <alignment horizontal="center" vertical="center"/>
    </xf>
    <xf numFmtId="44" fontId="9" fillId="0" borderId="3" xfId="2" applyFont="1" applyBorder="1" applyAlignment="1">
      <alignment horizontal="center"/>
    </xf>
    <xf numFmtId="44" fontId="9" fillId="0" borderId="5" xfId="2" applyFont="1" applyBorder="1" applyAlignment="1">
      <alignment horizontal="center"/>
    </xf>
    <xf numFmtId="44" fontId="9" fillId="0" borderId="2" xfId="2" applyFont="1" applyBorder="1" applyAlignment="1">
      <alignment horizontal="center" vertical="center"/>
    </xf>
    <xf numFmtId="44" fontId="9" fillId="0" borderId="15" xfId="2" applyFont="1" applyBorder="1" applyAlignment="1">
      <alignment horizontal="center"/>
    </xf>
    <xf numFmtId="44" fontId="9" fillId="6" borderId="5" xfId="2" applyFont="1" applyFill="1" applyBorder="1" applyAlignment="1">
      <alignment vertical="center"/>
    </xf>
    <xf numFmtId="164" fontId="10" fillId="0" borderId="0" xfId="0" applyNumberFormat="1" applyFont="1"/>
    <xf numFmtId="44" fontId="11" fillId="5" borderId="3" xfId="2" applyFont="1" applyFill="1" applyBorder="1" applyAlignment="1">
      <alignment vertical="center"/>
    </xf>
    <xf numFmtId="164" fontId="0" fillId="0" borderId="0" xfId="0" applyNumberFormat="1"/>
    <xf numFmtId="0" fontId="0" fillId="0" borderId="16" xfId="0" applyBorder="1"/>
    <xf numFmtId="0" fontId="0" fillId="0" borderId="17" xfId="0" applyBorder="1"/>
    <xf numFmtId="0" fontId="41" fillId="7" borderId="17" xfId="0" applyFont="1" applyFill="1" applyBorder="1"/>
    <xf numFmtId="0" fontId="41" fillId="7" borderId="18" xfId="0" applyFont="1" applyFill="1" applyBorder="1"/>
    <xf numFmtId="0" fontId="18" fillId="8" borderId="19" xfId="26" applyFont="1" applyFill="1" applyBorder="1" applyAlignment="1">
      <alignment horizontal="left" vertical="center" wrapText="1"/>
    </xf>
    <xf numFmtId="164" fontId="18" fillId="9" borderId="19" xfId="26" applyNumberFormat="1" applyFont="1" applyFill="1" applyBorder="1" applyAlignment="1">
      <alignment horizontal="left" vertical="center" wrapText="1"/>
    </xf>
    <xf numFmtId="44" fontId="41" fillId="8" borderId="19" xfId="0" applyNumberFormat="1" applyFont="1" applyFill="1" applyBorder="1" applyAlignment="1">
      <alignment vertical="center"/>
    </xf>
    <xf numFmtId="0" fontId="18" fillId="10" borderId="20" xfId="26" applyFont="1" applyFill="1" applyBorder="1" applyAlignment="1">
      <alignment horizontal="left" vertical="center" wrapText="1"/>
    </xf>
    <xf numFmtId="44" fontId="18" fillId="11" borderId="20" xfId="11" applyFont="1" applyFill="1" applyBorder="1" applyAlignment="1">
      <alignment horizontal="left" vertical="center" wrapText="1"/>
    </xf>
    <xf numFmtId="44" fontId="18" fillId="10" borderId="20" xfId="11" applyFont="1" applyFill="1" applyBorder="1" applyAlignment="1">
      <alignment horizontal="left" vertical="center" wrapText="1"/>
    </xf>
    <xf numFmtId="0" fontId="2" fillId="0" borderId="21" xfId="26" applyBorder="1" applyAlignment="1">
      <alignment horizontal="left" vertical="center" wrapText="1"/>
    </xf>
    <xf numFmtId="44" fontId="18" fillId="9" borderId="21" xfId="11" applyFont="1" applyFill="1" applyBorder="1" applyAlignment="1">
      <alignment horizontal="left" vertical="center" wrapText="1"/>
    </xf>
    <xf numFmtId="44" fontId="41" fillId="9" borderId="21" xfId="0" applyNumberFormat="1" applyFont="1" applyFill="1" applyBorder="1" applyAlignment="1">
      <alignment vertical="center"/>
    </xf>
    <xf numFmtId="44" fontId="42" fillId="0" borderId="21" xfId="0" applyNumberFormat="1" applyFont="1" applyBorder="1" applyAlignment="1">
      <alignment vertical="center"/>
    </xf>
    <xf numFmtId="0" fontId="2" fillId="0" borderId="16" xfId="26" applyBorder="1" applyAlignment="1">
      <alignment horizontal="left" vertical="center" wrapText="1"/>
    </xf>
    <xf numFmtId="44" fontId="18" fillId="9" borderId="16" xfId="11" applyFont="1" applyFill="1" applyBorder="1" applyAlignment="1">
      <alignment horizontal="left" vertical="center" wrapText="1"/>
    </xf>
    <xf numFmtId="44" fontId="41" fillId="9" borderId="16" xfId="0" applyNumberFormat="1" applyFont="1" applyFill="1" applyBorder="1" applyAlignment="1">
      <alignment vertical="center"/>
    </xf>
    <xf numFmtId="44" fontId="42" fillId="0" borderId="16" xfId="0" applyNumberFormat="1" applyFont="1" applyBorder="1" applyAlignment="1">
      <alignment vertical="center"/>
    </xf>
    <xf numFmtId="44" fontId="41" fillId="9" borderId="16" xfId="11" applyFont="1" applyFill="1" applyBorder="1" applyAlignment="1">
      <alignment horizontal="center" vertical="center"/>
    </xf>
    <xf numFmtId="44" fontId="42" fillId="0" borderId="16" xfId="11" applyFont="1" applyFill="1" applyBorder="1" applyAlignment="1">
      <alignment horizontal="center" vertical="center"/>
    </xf>
    <xf numFmtId="8" fontId="41" fillId="9" borderId="16" xfId="0" applyNumberFormat="1" applyFont="1" applyFill="1" applyBorder="1" applyAlignment="1">
      <alignment vertical="center"/>
    </xf>
    <xf numFmtId="8" fontId="42" fillId="0" borderId="16" xfId="0" applyNumberFormat="1" applyFont="1" applyBorder="1" applyAlignment="1">
      <alignment vertical="center"/>
    </xf>
    <xf numFmtId="0" fontId="36" fillId="0" borderId="0" xfId="0" applyFont="1"/>
    <xf numFmtId="8" fontId="9" fillId="0" borderId="5" xfId="2" applyNumberFormat="1" applyFont="1" applyBorder="1" applyAlignment="1">
      <alignment horizontal="center" vertical="center"/>
    </xf>
    <xf numFmtId="8" fontId="9" fillId="5" borderId="5" xfId="2" applyNumberFormat="1" applyFont="1" applyFill="1" applyBorder="1" applyAlignment="1">
      <alignment horizontal="center" vertical="center"/>
    </xf>
    <xf numFmtId="8" fontId="9" fillId="0" borderId="5" xfId="2" applyNumberFormat="1" applyFont="1" applyBorder="1" applyAlignment="1">
      <alignment vertical="center"/>
    </xf>
    <xf numFmtId="8" fontId="9" fillId="0" borderId="7" xfId="2" applyNumberFormat="1" applyFont="1" applyBorder="1" applyAlignment="1">
      <alignment vertical="center"/>
    </xf>
    <xf numFmtId="8" fontId="9" fillId="5" borderId="7" xfId="2" applyNumberFormat="1" applyFont="1" applyFill="1" applyBorder="1" applyAlignment="1">
      <alignment horizontal="center" vertical="center"/>
    </xf>
    <xf numFmtId="8" fontId="7" fillId="0" borderId="0" xfId="0" applyNumberFormat="1" applyFont="1"/>
    <xf numFmtId="0" fontId="20" fillId="0" borderId="0" xfId="0" applyFont="1"/>
    <xf numFmtId="0" fontId="17" fillId="3" borderId="41" xfId="26" applyFont="1" applyFill="1" applyBorder="1" applyAlignment="1">
      <alignment horizontal="justify" vertical="center" wrapText="1"/>
    </xf>
    <xf numFmtId="0" fontId="17" fillId="4" borderId="41" xfId="26" applyFont="1" applyFill="1" applyBorder="1" applyAlignment="1">
      <alignment horizontal="justify" vertical="center" wrapText="1"/>
    </xf>
    <xf numFmtId="0" fontId="17" fillId="0" borderId="41" xfId="26" applyFont="1" applyBorder="1" applyAlignment="1">
      <alignment horizontal="justify" vertical="center" wrapText="1"/>
    </xf>
    <xf numFmtId="0" fontId="17" fillId="3" borderId="41" xfId="0" applyFont="1" applyFill="1" applyBorder="1" applyAlignment="1">
      <alignment horizontal="justify" vertical="center" wrapText="1"/>
    </xf>
    <xf numFmtId="4" fontId="17" fillId="0" borderId="41" xfId="2" applyNumberFormat="1" applyFont="1" applyBorder="1" applyAlignment="1">
      <alignment vertical="center"/>
    </xf>
    <xf numFmtId="4" fontId="17" fillId="3" borderId="41" xfId="2" applyNumberFormat="1" applyFont="1" applyFill="1" applyBorder="1" applyAlignment="1">
      <alignment vertical="center"/>
    </xf>
    <xf numFmtId="3" fontId="17" fillId="0" borderId="41" xfId="2" applyNumberFormat="1" applyFont="1" applyBorder="1" applyAlignment="1">
      <alignment vertical="center"/>
    </xf>
    <xf numFmtId="0" fontId="19" fillId="0" borderId="0" xfId="0" applyFont="1"/>
    <xf numFmtId="0" fontId="19" fillId="0" borderId="0" xfId="0" applyFont="1" applyAlignment="1">
      <alignment vertical="center"/>
    </xf>
    <xf numFmtId="3" fontId="21" fillId="12" borderId="41" xfId="2" applyNumberFormat="1" applyFont="1" applyFill="1" applyBorder="1" applyAlignment="1">
      <alignment vertical="center"/>
    </xf>
    <xf numFmtId="0" fontId="19" fillId="0" borderId="0" xfId="0" applyFont="1" applyAlignment="1">
      <alignment horizontal="center"/>
    </xf>
    <xf numFmtId="0" fontId="19" fillId="0" borderId="0" xfId="0" applyFont="1" applyAlignment="1">
      <alignment horizontal="left"/>
    </xf>
    <xf numFmtId="0" fontId="21" fillId="13" borderId="41" xfId="0" applyFont="1" applyFill="1" applyBorder="1" applyAlignment="1">
      <alignment horizontal="center" vertical="center" wrapText="1"/>
    </xf>
    <xf numFmtId="0" fontId="17" fillId="3" borderId="41" xfId="26" applyFont="1" applyFill="1" applyBorder="1" applyAlignment="1">
      <alignment horizontal="center" vertical="center" wrapText="1"/>
    </xf>
    <xf numFmtId="0" fontId="17" fillId="0" borderId="41" xfId="0" applyFont="1" applyBorder="1" applyAlignment="1">
      <alignment horizontal="center" vertical="center" wrapText="1"/>
    </xf>
    <xf numFmtId="0" fontId="17" fillId="3" borderId="41" xfId="0" applyFont="1" applyFill="1" applyBorder="1" applyAlignment="1">
      <alignment horizontal="center" vertical="center" wrapText="1"/>
    </xf>
    <xf numFmtId="4" fontId="40" fillId="14" borderId="41" xfId="2" applyNumberFormat="1" applyFont="1" applyFill="1" applyBorder="1" applyAlignment="1">
      <alignment vertical="center"/>
    </xf>
    <xf numFmtId="4" fontId="17" fillId="14" borderId="41" xfId="2" applyNumberFormat="1" applyFont="1" applyFill="1" applyBorder="1" applyAlignment="1">
      <alignment vertical="center"/>
    </xf>
    <xf numFmtId="0" fontId="19" fillId="0" borderId="0" xfId="0" applyFont="1" applyAlignment="1">
      <alignment horizontal="center" vertical="center"/>
    </xf>
    <xf numFmtId="168" fontId="17" fillId="0" borderId="41" xfId="2" applyNumberFormat="1" applyFont="1" applyBorder="1" applyAlignment="1">
      <alignment vertical="center"/>
    </xf>
    <xf numFmtId="0" fontId="40" fillId="0" borderId="0" xfId="0" applyFont="1"/>
    <xf numFmtId="0" fontId="43" fillId="0" borderId="0" xfId="0" applyFont="1"/>
    <xf numFmtId="0" fontId="44" fillId="0" borderId="0" xfId="0" applyFont="1"/>
    <xf numFmtId="0" fontId="17" fillId="13" borderId="41" xfId="0" applyFont="1" applyFill="1" applyBorder="1" applyAlignment="1">
      <alignment horizontal="center" vertical="center" wrapText="1"/>
    </xf>
    <xf numFmtId="0" fontId="5" fillId="0" borderId="0" xfId="0" applyFont="1" applyAlignment="1">
      <alignment horizontal="left"/>
    </xf>
    <xf numFmtId="0" fontId="45" fillId="0" borderId="0" xfId="29" applyFont="1"/>
    <xf numFmtId="0" fontId="46" fillId="0" borderId="0" xfId="29" applyFont="1"/>
    <xf numFmtId="0" fontId="47" fillId="0" borderId="0" xfId="29" applyFont="1"/>
    <xf numFmtId="0" fontId="47" fillId="0" borderId="0" xfId="29" applyFont="1" applyAlignment="1">
      <alignment horizontal="center" vertical="center"/>
    </xf>
    <xf numFmtId="10" fontId="47" fillId="0" borderId="0" xfId="29" applyNumberFormat="1" applyFont="1"/>
    <xf numFmtId="0" fontId="25" fillId="0" borderId="0" xfId="0" applyFont="1" applyAlignment="1">
      <alignment vertical="center"/>
    </xf>
    <xf numFmtId="0" fontId="48" fillId="12" borderId="41" xfId="0" applyFont="1" applyFill="1" applyBorder="1" applyAlignment="1">
      <alignment vertical="center" wrapText="1"/>
    </xf>
    <xf numFmtId="3" fontId="24" fillId="0" borderId="41" xfId="2" applyNumberFormat="1" applyFont="1" applyBorder="1" applyAlignment="1">
      <alignment horizontal="center" vertical="center"/>
    </xf>
    <xf numFmtId="3" fontId="24" fillId="3" borderId="41" xfId="2" applyNumberFormat="1" applyFont="1" applyFill="1" applyBorder="1" applyAlignment="1">
      <alignment horizontal="center" vertical="center"/>
    </xf>
    <xf numFmtId="4" fontId="24" fillId="0" borderId="41" xfId="2" applyNumberFormat="1" applyFont="1" applyFill="1" applyBorder="1" applyAlignment="1">
      <alignment horizontal="center" vertical="center"/>
    </xf>
    <xf numFmtId="0" fontId="17" fillId="0" borderId="41" xfId="0" applyFont="1" applyBorder="1" applyAlignment="1">
      <alignment horizontal="justify" vertical="center" wrapText="1"/>
    </xf>
    <xf numFmtId="0" fontId="17" fillId="0" borderId="41" xfId="26" applyFont="1" applyBorder="1" applyAlignment="1">
      <alignment horizontal="justify" vertical="center" wrapText="1" shrinkToFit="1"/>
    </xf>
    <xf numFmtId="0" fontId="17" fillId="0" borderId="42" xfId="0" applyFont="1" applyBorder="1" applyAlignment="1">
      <alignment horizontal="center" vertical="center" wrapText="1"/>
    </xf>
    <xf numFmtId="167" fontId="17" fillId="0" borderId="41" xfId="2" applyNumberFormat="1" applyFont="1" applyBorder="1" applyAlignment="1">
      <alignment vertical="center"/>
    </xf>
    <xf numFmtId="172" fontId="1" fillId="0" borderId="41" xfId="30" applyNumberFormat="1" applyBorder="1" applyAlignment="1">
      <alignment vertical="center"/>
    </xf>
    <xf numFmtId="4" fontId="21" fillId="12" borderId="41" xfId="2" applyNumberFormat="1" applyFont="1" applyFill="1" applyBorder="1" applyAlignment="1">
      <alignment vertical="center"/>
    </xf>
    <xf numFmtId="167" fontId="1" fillId="0" borderId="41" xfId="30" applyNumberFormat="1" applyBorder="1" applyAlignment="1">
      <alignment vertical="center"/>
    </xf>
    <xf numFmtId="167" fontId="21" fillId="12" borderId="41" xfId="2" applyNumberFormat="1" applyFont="1" applyFill="1" applyBorder="1" applyAlignment="1">
      <alignment vertical="center"/>
    </xf>
    <xf numFmtId="167" fontId="17" fillId="3" borderId="41" xfId="2" applyNumberFormat="1" applyFont="1" applyFill="1" applyBorder="1" applyAlignment="1">
      <alignment vertical="center"/>
    </xf>
    <xf numFmtId="167" fontId="1" fillId="3" borderId="41" xfId="30" applyNumberFormat="1" applyFill="1" applyBorder="1" applyAlignment="1">
      <alignment vertical="center"/>
    </xf>
    <xf numFmtId="167" fontId="40" fillId="14" borderId="41" xfId="2" applyNumberFormat="1" applyFont="1" applyFill="1" applyBorder="1" applyAlignment="1">
      <alignment vertical="center"/>
    </xf>
    <xf numFmtId="167" fontId="1" fillId="14" borderId="41" xfId="30" applyNumberFormat="1" applyFill="1" applyBorder="1" applyAlignment="1">
      <alignment vertical="center"/>
    </xf>
    <xf numFmtId="167" fontId="17" fillId="14" borderId="41" xfId="2" applyNumberFormat="1" applyFont="1" applyFill="1" applyBorder="1" applyAlignment="1">
      <alignment vertical="center"/>
    </xf>
    <xf numFmtId="0" fontId="5" fillId="12" borderId="43" xfId="0" applyFont="1" applyFill="1" applyBorder="1" applyAlignment="1" applyProtection="1">
      <alignment vertical="center"/>
      <protection hidden="1"/>
    </xf>
    <xf numFmtId="0" fontId="20" fillId="0" borderId="0" xfId="0" applyFont="1" applyProtection="1">
      <protection hidden="1"/>
    </xf>
    <xf numFmtId="0" fontId="22" fillId="12" borderId="41" xfId="0" applyFont="1" applyFill="1" applyBorder="1" applyAlignment="1" applyProtection="1">
      <alignment horizontal="center" vertical="center"/>
      <protection hidden="1"/>
    </xf>
    <xf numFmtId="0" fontId="26" fillId="0" borderId="22" xfId="0" applyFont="1" applyBorder="1" applyAlignment="1" applyProtection="1">
      <alignment vertical="center"/>
      <protection hidden="1"/>
    </xf>
    <xf numFmtId="4" fontId="17" fillId="0" borderId="22" xfId="0" applyNumberFormat="1" applyFont="1" applyBorder="1" applyAlignment="1" applyProtection="1">
      <alignment horizontal="center" vertical="center"/>
      <protection hidden="1"/>
    </xf>
    <xf numFmtId="0" fontId="21" fillId="13" borderId="41" xfId="0" applyFont="1" applyFill="1" applyBorder="1" applyAlignment="1" applyProtection="1">
      <alignment horizontal="center" vertical="center" wrapText="1"/>
      <protection hidden="1"/>
    </xf>
    <xf numFmtId="4" fontId="26" fillId="0" borderId="22" xfId="0" applyNumberFormat="1" applyFont="1" applyBorder="1" applyAlignment="1" applyProtection="1">
      <alignment horizontal="center" vertical="center"/>
      <protection hidden="1"/>
    </xf>
    <xf numFmtId="0" fontId="17" fillId="0" borderId="42" xfId="0" applyFont="1" applyBorder="1" applyAlignment="1" applyProtection="1">
      <alignment horizontal="center" vertical="center" wrapText="1"/>
      <protection hidden="1"/>
    </xf>
    <xf numFmtId="0" fontId="17" fillId="0" borderId="41" xfId="0" applyFont="1" applyBorder="1" applyAlignment="1" applyProtection="1">
      <alignment horizontal="center" vertical="center" wrapText="1"/>
      <protection hidden="1"/>
    </xf>
    <xf numFmtId="0" fontId="17" fillId="3" borderId="41" xfId="26" applyFont="1" applyFill="1" applyBorder="1" applyAlignment="1" applyProtection="1">
      <alignment horizontal="justify" vertical="center" wrapText="1"/>
      <protection hidden="1"/>
    </xf>
    <xf numFmtId="166" fontId="24" fillId="0" borderId="41" xfId="34" applyNumberFormat="1" applyFont="1" applyBorder="1" applyAlignment="1" applyProtection="1">
      <alignment vertical="center"/>
      <protection hidden="1"/>
    </xf>
    <xf numFmtId="166" fontId="24" fillId="0" borderId="41" xfId="2" applyNumberFormat="1" applyFont="1" applyBorder="1" applyAlignment="1" applyProtection="1">
      <alignment vertical="center"/>
      <protection hidden="1"/>
    </xf>
    <xf numFmtId="0" fontId="27" fillId="0" borderId="22" xfId="0" applyFont="1" applyBorder="1" applyAlignment="1" applyProtection="1">
      <alignment vertical="center"/>
      <protection hidden="1"/>
    </xf>
    <xf numFmtId="4" fontId="27" fillId="0" borderId="22" xfId="0" applyNumberFormat="1" applyFont="1" applyBorder="1" applyAlignment="1" applyProtection="1">
      <alignment horizontal="center" vertical="center"/>
      <protection hidden="1"/>
    </xf>
    <xf numFmtId="0" fontId="0" fillId="0" borderId="0" xfId="0" applyProtection="1">
      <protection hidden="1"/>
    </xf>
    <xf numFmtId="0" fontId="17" fillId="4" borderId="41" xfId="26" applyFont="1" applyFill="1" applyBorder="1" applyAlignment="1" applyProtection="1">
      <alignment horizontal="justify" vertical="center" wrapText="1"/>
      <protection hidden="1"/>
    </xf>
    <xf numFmtId="0" fontId="17" fillId="3" borderId="41" xfId="26" applyFont="1" applyFill="1" applyBorder="1" applyAlignment="1" applyProtection="1">
      <alignment horizontal="center" vertical="center" wrapText="1"/>
      <protection hidden="1"/>
    </xf>
    <xf numFmtId="166" fontId="23" fillId="12" borderId="41" xfId="0" applyNumberFormat="1" applyFont="1" applyFill="1" applyBorder="1" applyAlignment="1" applyProtection="1">
      <alignment vertical="center" wrapText="1"/>
      <protection hidden="1"/>
    </xf>
    <xf numFmtId="0" fontId="17" fillId="0" borderId="41" xfId="0" applyFont="1" applyBorder="1" applyAlignment="1" applyProtection="1">
      <alignment horizontal="justify" vertical="center" wrapText="1"/>
      <protection hidden="1"/>
    </xf>
    <xf numFmtId="0" fontId="17" fillId="3" borderId="41" xfId="0" applyFont="1" applyFill="1" applyBorder="1" applyAlignment="1" applyProtection="1">
      <alignment horizontal="justify" vertical="center" wrapText="1"/>
      <protection hidden="1"/>
    </xf>
    <xf numFmtId="0" fontId="17" fillId="0" borderId="41" xfId="26" applyFont="1" applyBorder="1" applyAlignment="1" applyProtection="1">
      <alignment horizontal="justify" vertical="center" wrapText="1"/>
      <protection hidden="1"/>
    </xf>
    <xf numFmtId="0" fontId="17" fillId="0" borderId="41" xfId="26" applyFont="1" applyBorder="1" applyAlignment="1" applyProtection="1">
      <alignment horizontal="justify" vertical="center" wrapText="1" shrinkToFit="1"/>
      <protection hidden="1"/>
    </xf>
    <xf numFmtId="166" fontId="24" fillId="3" borderId="41" xfId="2" applyNumberFormat="1" applyFont="1" applyFill="1" applyBorder="1" applyAlignment="1" applyProtection="1">
      <alignment vertical="center"/>
      <protection hidden="1"/>
    </xf>
    <xf numFmtId="0" fontId="49" fillId="0" borderId="0" xfId="0" applyFont="1" applyProtection="1">
      <protection hidden="1"/>
    </xf>
    <xf numFmtId="0" fontId="17" fillId="3" borderId="41" xfId="0" applyFont="1" applyFill="1" applyBorder="1" applyAlignment="1" applyProtection="1">
      <alignment horizontal="center" vertical="center" wrapText="1"/>
      <protection hidden="1"/>
    </xf>
    <xf numFmtId="166" fontId="24" fillId="3" borderId="41" xfId="34" applyNumberFormat="1" applyFont="1" applyFill="1" applyBorder="1" applyAlignment="1" applyProtection="1">
      <alignment vertical="center"/>
      <protection hidden="1"/>
    </xf>
    <xf numFmtId="0" fontId="19" fillId="0" borderId="0" xfId="0" applyFont="1" applyAlignment="1" applyProtection="1">
      <alignment horizontal="center" vertical="center"/>
      <protection hidden="1"/>
    </xf>
    <xf numFmtId="0" fontId="19" fillId="0" borderId="0" xfId="0" applyFont="1" applyProtection="1">
      <protection hidden="1"/>
    </xf>
    <xf numFmtId="0" fontId="19" fillId="0" borderId="0" xfId="0" applyFont="1" applyAlignment="1" applyProtection="1">
      <alignment horizontal="left"/>
      <protection hidden="1"/>
    </xf>
    <xf numFmtId="0" fontId="19" fillId="0" borderId="0" xfId="0" applyFont="1" applyAlignment="1" applyProtection="1">
      <alignment vertical="center"/>
      <protection hidden="1"/>
    </xf>
    <xf numFmtId="170" fontId="22" fillId="15" borderId="16" xfId="0" applyNumberFormat="1" applyFont="1" applyFill="1" applyBorder="1" applyAlignment="1" applyProtection="1">
      <alignment horizontal="right" vertical="center"/>
      <protection hidden="1"/>
    </xf>
    <xf numFmtId="171" fontId="20" fillId="0" borderId="0" xfId="0" applyNumberFormat="1" applyFont="1" applyProtection="1">
      <protection hidden="1"/>
    </xf>
    <xf numFmtId="0" fontId="50" fillId="0" borderId="0" xfId="29" applyFont="1"/>
    <xf numFmtId="0" fontId="28" fillId="0" borderId="0" xfId="0" applyFont="1" applyAlignment="1">
      <alignment vertical="center"/>
    </xf>
    <xf numFmtId="0" fontId="50" fillId="0" borderId="0" xfId="29" applyFont="1" applyAlignment="1">
      <alignment horizontal="center" vertical="center"/>
    </xf>
    <xf numFmtId="10" fontId="50" fillId="0" borderId="0" xfId="29" applyNumberFormat="1" applyFont="1"/>
    <xf numFmtId="0" fontId="18" fillId="0" borderId="0" xfId="0" applyFont="1" applyAlignment="1">
      <alignment horizontal="center" vertical="center"/>
    </xf>
    <xf numFmtId="0" fontId="28" fillId="0" borderId="0" xfId="0" applyFont="1" applyAlignment="1">
      <alignment horizontal="left"/>
    </xf>
    <xf numFmtId="0" fontId="28" fillId="0" borderId="0" xfId="0" applyFont="1"/>
    <xf numFmtId="0" fontId="51" fillId="0" borderId="0" xfId="0" applyFont="1"/>
    <xf numFmtId="0" fontId="28" fillId="0" borderId="0" xfId="0" applyFont="1" applyAlignment="1">
      <alignment horizontal="center" vertical="center"/>
    </xf>
    <xf numFmtId="0" fontId="28" fillId="0" borderId="0" xfId="0" applyFont="1" applyAlignment="1" applyProtection="1">
      <alignment horizontal="left"/>
      <protection hidden="1"/>
    </xf>
    <xf numFmtId="0" fontId="50" fillId="0" borderId="0" xfId="29" applyFont="1" applyProtection="1">
      <protection hidden="1"/>
    </xf>
    <xf numFmtId="0" fontId="50" fillId="0" borderId="0" xfId="29" applyFont="1" applyAlignment="1" applyProtection="1">
      <alignment horizontal="center" vertical="center"/>
      <protection hidden="1"/>
    </xf>
    <xf numFmtId="10" fontId="50" fillId="0" borderId="0" xfId="29" applyNumberFormat="1" applyFont="1" applyProtection="1">
      <protection hidden="1"/>
    </xf>
    <xf numFmtId="0" fontId="28" fillId="0" borderId="0" xfId="0" applyFont="1" applyAlignment="1" applyProtection="1">
      <alignment vertical="center"/>
      <protection hidden="1"/>
    </xf>
    <xf numFmtId="4" fontId="24" fillId="3" borderId="41" xfId="2" applyNumberFormat="1" applyFont="1" applyFill="1" applyBorder="1" applyAlignment="1">
      <alignment horizontal="center" vertical="center"/>
    </xf>
    <xf numFmtId="4" fontId="24" fillId="0" borderId="41" xfId="2" applyNumberFormat="1" applyFont="1" applyBorder="1" applyAlignment="1">
      <alignment horizontal="center" vertical="center"/>
    </xf>
    <xf numFmtId="0" fontId="17" fillId="0" borderId="42" xfId="0" applyFont="1" applyBorder="1" applyAlignment="1">
      <alignment horizontal="justify" vertical="center" wrapText="1"/>
    </xf>
    <xf numFmtId="0" fontId="17" fillId="0" borderId="42" xfId="0" applyFont="1" applyBorder="1" applyAlignment="1" applyProtection="1">
      <alignment horizontal="justify" vertical="center" wrapText="1"/>
      <protection hidden="1"/>
    </xf>
    <xf numFmtId="4" fontId="24" fillId="0" borderId="41" xfId="34" applyNumberFormat="1" applyFont="1" applyFill="1" applyBorder="1" applyAlignment="1">
      <alignment horizontal="center" vertical="center"/>
    </xf>
    <xf numFmtId="0" fontId="28" fillId="0" borderId="0" xfId="0" applyFont="1" applyAlignment="1">
      <alignment horizontal="center" vertical="top"/>
    </xf>
    <xf numFmtId="4" fontId="24" fillId="0" borderId="41" xfId="2" applyNumberFormat="1" applyFont="1" applyBorder="1" applyAlignment="1">
      <alignment vertical="center"/>
    </xf>
    <xf numFmtId="169" fontId="20" fillId="0" borderId="0" xfId="0" applyNumberFormat="1" applyFont="1"/>
    <xf numFmtId="4" fontId="24" fillId="0" borderId="41" xfId="35" applyNumberFormat="1" applyFont="1" applyFill="1" applyBorder="1" applyAlignment="1">
      <alignment horizontal="center" vertical="center"/>
    </xf>
    <xf numFmtId="0" fontId="22" fillId="0" borderId="0" xfId="0" applyFont="1" applyAlignment="1">
      <alignment horizontal="center" vertical="center"/>
    </xf>
    <xf numFmtId="0" fontId="52" fillId="0" borderId="0" xfId="0" applyFont="1"/>
    <xf numFmtId="0" fontId="29" fillId="0" borderId="0" xfId="0" applyFont="1" applyAlignment="1">
      <alignment horizontal="left"/>
    </xf>
    <xf numFmtId="0" fontId="30" fillId="0" borderId="0" xfId="0" applyFont="1"/>
    <xf numFmtId="0" fontId="30" fillId="0" borderId="0" xfId="0" applyFont="1" applyAlignment="1">
      <alignment horizontal="left"/>
    </xf>
    <xf numFmtId="0" fontId="31" fillId="0" borderId="0" xfId="0" applyFont="1"/>
    <xf numFmtId="0" fontId="30" fillId="0" borderId="0" xfId="0" applyFont="1" applyAlignment="1">
      <alignment horizontal="center" vertical="center"/>
    </xf>
    <xf numFmtId="0" fontId="30" fillId="0" borderId="0" xfId="0" applyFont="1" applyAlignment="1">
      <alignment vertical="center"/>
    </xf>
    <xf numFmtId="0" fontId="32" fillId="0" borderId="0" xfId="0" applyFont="1"/>
    <xf numFmtId="167" fontId="17" fillId="3" borderId="41" xfId="30" applyNumberFormat="1" applyFont="1" applyFill="1" applyBorder="1" applyAlignment="1">
      <alignment vertical="center"/>
    </xf>
    <xf numFmtId="166" fontId="24" fillId="0" borderId="41" xfId="34" applyNumberFormat="1" applyFont="1" applyFill="1" applyBorder="1" applyAlignment="1" applyProtection="1">
      <alignment vertical="center"/>
      <protection hidden="1"/>
    </xf>
    <xf numFmtId="4" fontId="53" fillId="0" borderId="41" xfId="2" applyNumberFormat="1" applyFont="1" applyBorder="1" applyAlignment="1">
      <alignment horizontal="center" vertical="center"/>
    </xf>
    <xf numFmtId="4" fontId="53" fillId="3" borderId="41" xfId="2" applyNumberFormat="1" applyFont="1" applyFill="1" applyBorder="1" applyAlignment="1">
      <alignment horizontal="center" vertical="center"/>
    </xf>
    <xf numFmtId="4" fontId="53" fillId="0" borderId="42" xfId="2" applyNumberFormat="1" applyFont="1" applyFill="1" applyBorder="1" applyAlignment="1">
      <alignment horizontal="center" vertical="center"/>
    </xf>
    <xf numFmtId="4" fontId="53" fillId="0" borderId="41" xfId="2" applyNumberFormat="1" applyFont="1" applyFill="1" applyBorder="1" applyAlignment="1">
      <alignment horizontal="center" vertical="center"/>
    </xf>
    <xf numFmtId="4" fontId="23" fillId="0" borderId="41" xfId="2" applyNumberFormat="1" applyFont="1" applyFill="1" applyBorder="1" applyAlignment="1">
      <alignment horizontal="center" vertical="center"/>
    </xf>
    <xf numFmtId="4" fontId="23" fillId="0" borderId="41" xfId="2" applyNumberFormat="1" applyFont="1" applyBorder="1" applyAlignment="1">
      <alignment vertical="center"/>
    </xf>
    <xf numFmtId="3" fontId="53" fillId="0" borderId="41" xfId="2" applyNumberFormat="1" applyFont="1" applyBorder="1" applyAlignment="1">
      <alignment horizontal="center" vertical="center"/>
    </xf>
    <xf numFmtId="3" fontId="53" fillId="3" borderId="41" xfId="2" applyNumberFormat="1" applyFont="1" applyFill="1" applyBorder="1" applyAlignment="1">
      <alignment horizontal="center" vertical="center"/>
    </xf>
    <xf numFmtId="3" fontId="23" fillId="3" borderId="41" xfId="2" applyNumberFormat="1" applyFont="1" applyFill="1" applyBorder="1" applyAlignment="1">
      <alignment horizontal="center" vertical="center"/>
    </xf>
    <xf numFmtId="3" fontId="23" fillId="0" borderId="41" xfId="2" applyNumberFormat="1" applyFont="1" applyBorder="1" applyAlignment="1">
      <alignment horizontal="center" vertical="center"/>
    </xf>
    <xf numFmtId="3" fontId="53" fillId="0" borderId="41" xfId="2" applyNumberFormat="1" applyFont="1" applyFill="1" applyBorder="1" applyAlignment="1">
      <alignment horizontal="center" vertical="center"/>
    </xf>
    <xf numFmtId="4" fontId="23" fillId="0" borderId="41" xfId="2" applyNumberFormat="1" applyFont="1" applyBorder="1" applyAlignment="1">
      <alignment horizontal="center" vertical="center"/>
    </xf>
    <xf numFmtId="3" fontId="23" fillId="0" borderId="41" xfId="2" applyNumberFormat="1" applyFont="1" applyFill="1" applyBorder="1" applyAlignment="1">
      <alignment horizontal="center" vertical="center"/>
    </xf>
    <xf numFmtId="3" fontId="54" fillId="14" borderId="41" xfId="2" applyNumberFormat="1" applyFont="1" applyFill="1" applyBorder="1" applyAlignment="1">
      <alignment horizontal="center" vertical="center"/>
    </xf>
    <xf numFmtId="0" fontId="28" fillId="0" borderId="0" xfId="0" applyFont="1" applyAlignment="1">
      <alignment vertical="top"/>
    </xf>
    <xf numFmtId="0" fontId="50" fillId="0" borderId="0" xfId="29" applyFont="1" applyAlignment="1">
      <alignment vertical="top"/>
    </xf>
    <xf numFmtId="0" fontId="50" fillId="0" borderId="0" xfId="29" applyFont="1" applyAlignment="1">
      <alignment vertical="top" wrapText="1"/>
    </xf>
    <xf numFmtId="0" fontId="50" fillId="0" borderId="0" xfId="29" applyFont="1" applyAlignment="1" applyProtection="1">
      <alignment vertical="top" wrapText="1"/>
      <protection hidden="1"/>
    </xf>
    <xf numFmtId="0" fontId="50" fillId="0" borderId="0" xfId="29" applyFont="1" applyAlignment="1" applyProtection="1">
      <alignment vertical="top"/>
      <protection hidden="1"/>
    </xf>
    <xf numFmtId="167" fontId="17" fillId="0" borderId="41" xfId="30" applyNumberFormat="1" applyFont="1" applyBorder="1" applyAlignment="1">
      <alignment vertical="center"/>
    </xf>
    <xf numFmtId="4" fontId="23" fillId="3" borderId="41" xfId="2" applyNumberFormat="1" applyFont="1" applyFill="1" applyBorder="1" applyAlignment="1">
      <alignment horizontal="center" vertical="center"/>
    </xf>
    <xf numFmtId="4" fontId="23" fillId="3" borderId="42" xfId="2" applyNumberFormat="1" applyFont="1" applyFill="1" applyBorder="1" applyAlignment="1">
      <alignment horizontal="center" vertical="center"/>
    </xf>
    <xf numFmtId="0" fontId="29" fillId="0" borderId="0" xfId="0" applyFont="1" applyAlignment="1">
      <alignment horizontal="justify" vertical="center" wrapText="1"/>
    </xf>
    <xf numFmtId="173" fontId="23" fillId="0" borderId="41" xfId="34" applyNumberFormat="1" applyFont="1" applyBorder="1" applyAlignment="1" applyProtection="1">
      <alignment horizontal="center" vertical="center"/>
      <protection hidden="1"/>
    </xf>
    <xf numFmtId="166" fontId="24" fillId="16" borderId="41" xfId="34" applyNumberFormat="1" applyFont="1" applyFill="1" applyBorder="1" applyAlignment="1" applyProtection="1">
      <alignment vertical="center"/>
      <protection hidden="1"/>
    </xf>
    <xf numFmtId="166" fontId="24" fillId="16" borderId="41" xfId="2" applyNumberFormat="1" applyFont="1" applyFill="1" applyBorder="1" applyAlignment="1" applyProtection="1">
      <alignment vertical="center"/>
      <protection hidden="1"/>
    </xf>
    <xf numFmtId="0" fontId="29" fillId="0" borderId="23" xfId="0" applyFont="1" applyBorder="1" applyAlignment="1">
      <alignment horizontal="justify" vertical="center" wrapText="1"/>
    </xf>
    <xf numFmtId="3" fontId="24" fillId="0" borderId="41" xfId="2" applyNumberFormat="1" applyFont="1" applyFill="1" applyBorder="1" applyAlignment="1">
      <alignment horizontal="center" vertical="center"/>
    </xf>
    <xf numFmtId="3" fontId="24" fillId="14" borderId="41" xfId="2" applyNumberFormat="1" applyFont="1" applyFill="1" applyBorder="1" applyAlignment="1">
      <alignment horizontal="center" vertical="center"/>
    </xf>
    <xf numFmtId="0" fontId="29" fillId="0" borderId="18" xfId="0" applyFont="1" applyBorder="1" applyAlignment="1">
      <alignment horizontal="justify" vertical="center" wrapText="1"/>
    </xf>
    <xf numFmtId="0" fontId="17" fillId="3" borderId="41" xfId="0" applyFont="1" applyFill="1" applyBorder="1" applyAlignment="1">
      <alignment horizontal="center" vertical="center" wrapText="1"/>
    </xf>
    <xf numFmtId="4" fontId="53" fillId="0" borderId="42" xfId="2" applyNumberFormat="1" applyFont="1" applyBorder="1" applyAlignment="1">
      <alignment horizontal="center" vertical="center"/>
    </xf>
    <xf numFmtId="4" fontId="53" fillId="0" borderId="47" xfId="2" applyNumberFormat="1" applyFont="1" applyBorder="1" applyAlignment="1">
      <alignment horizontal="center" vertical="center"/>
    </xf>
    <xf numFmtId="4" fontId="24" fillId="0" borderId="42" xfId="2" applyNumberFormat="1" applyFont="1" applyBorder="1" applyAlignment="1">
      <alignment horizontal="center" vertical="center"/>
    </xf>
    <xf numFmtId="4" fontId="24" fillId="0" borderId="47" xfId="2" applyNumberFormat="1" applyFont="1" applyBorder="1" applyAlignment="1">
      <alignment horizontal="center" vertical="center"/>
    </xf>
    <xf numFmtId="4" fontId="24" fillId="0" borderId="41" xfId="34" applyNumberFormat="1" applyFont="1" applyBorder="1" applyAlignment="1">
      <alignment horizontal="center" vertical="center"/>
    </xf>
    <xf numFmtId="4" fontId="24" fillId="0" borderId="42" xfId="34" applyNumberFormat="1" applyFont="1" applyBorder="1" applyAlignment="1">
      <alignment horizontal="center" vertical="center"/>
    </xf>
    <xf numFmtId="4" fontId="24" fillId="0" borderId="47" xfId="34" applyNumberFormat="1" applyFont="1" applyBorder="1" applyAlignment="1">
      <alignment horizontal="center" vertical="center"/>
    </xf>
    <xf numFmtId="0" fontId="17" fillId="3" borderId="41" xfId="0" applyFont="1" applyFill="1" applyBorder="1" applyAlignment="1">
      <alignment horizontal="justify" vertical="center" wrapText="1"/>
    </xf>
    <xf numFmtId="0" fontId="17" fillId="3" borderId="42" xfId="0" applyFont="1" applyFill="1" applyBorder="1" applyAlignment="1">
      <alignment horizontal="center" vertical="center" wrapText="1"/>
    </xf>
    <xf numFmtId="0" fontId="17" fillId="3" borderId="46" xfId="0" applyFont="1" applyFill="1" applyBorder="1" applyAlignment="1">
      <alignment horizontal="center" vertical="center" wrapText="1"/>
    </xf>
    <xf numFmtId="0" fontId="17" fillId="3" borderId="47" xfId="0" applyFont="1" applyFill="1" applyBorder="1" applyAlignment="1">
      <alignment horizontal="center" vertical="center" wrapText="1"/>
    </xf>
    <xf numFmtId="0" fontId="17" fillId="0" borderId="41" xfId="0" applyFont="1" applyBorder="1" applyAlignment="1">
      <alignment horizontal="justify" vertical="center" wrapText="1"/>
    </xf>
    <xf numFmtId="0" fontId="21" fillId="13" borderId="41" xfId="0" applyFont="1" applyFill="1" applyBorder="1" applyAlignment="1">
      <alignment horizontal="center" vertical="center"/>
    </xf>
    <xf numFmtId="0" fontId="5" fillId="12" borderId="41" xfId="0" applyFont="1" applyFill="1" applyBorder="1" applyAlignment="1">
      <alignment horizontal="center" vertical="center"/>
    </xf>
    <xf numFmtId="0" fontId="57" fillId="12" borderId="41" xfId="0" applyFont="1" applyFill="1" applyBorder="1" applyAlignment="1">
      <alignment horizontal="center" vertical="center" wrapText="1"/>
    </xf>
    <xf numFmtId="0" fontId="21" fillId="13" borderId="41" xfId="0" applyFont="1" applyFill="1" applyBorder="1" applyAlignment="1">
      <alignment horizontal="center" vertical="center" wrapText="1"/>
    </xf>
    <xf numFmtId="0" fontId="21" fillId="12" borderId="41" xfId="0" applyFont="1" applyFill="1" applyBorder="1" applyAlignment="1">
      <alignment horizontal="center" vertical="center" wrapText="1"/>
    </xf>
    <xf numFmtId="4" fontId="53" fillId="0" borderId="41" xfId="34" applyNumberFormat="1" applyFont="1" applyBorder="1" applyAlignment="1">
      <alignment horizontal="center" vertical="center"/>
    </xf>
    <xf numFmtId="0" fontId="17" fillId="0" borderId="42" xfId="0" applyFont="1" applyBorder="1" applyAlignment="1">
      <alignment horizontal="center" vertical="center" wrapText="1"/>
    </xf>
    <xf numFmtId="0" fontId="17" fillId="0" borderId="46" xfId="0" applyFont="1" applyBorder="1" applyAlignment="1">
      <alignment horizontal="center" vertical="center" wrapText="1"/>
    </xf>
    <xf numFmtId="0" fontId="17" fillId="0" borderId="47" xfId="0" applyFont="1" applyBorder="1" applyAlignment="1">
      <alignment horizontal="center" vertical="center" wrapText="1"/>
    </xf>
    <xf numFmtId="0" fontId="21" fillId="12" borderId="44" xfId="0" applyFont="1" applyFill="1" applyBorder="1" applyAlignment="1">
      <alignment horizontal="center" vertical="center" wrapText="1"/>
    </xf>
    <xf numFmtId="0" fontId="21" fillId="12" borderId="45" xfId="0" applyFont="1" applyFill="1" applyBorder="1" applyAlignment="1">
      <alignment horizontal="center" vertical="center" wrapText="1"/>
    </xf>
    <xf numFmtId="0" fontId="21" fillId="12" borderId="43" xfId="0" applyFont="1" applyFill="1" applyBorder="1" applyAlignment="1">
      <alignment horizontal="center" vertical="center" wrapText="1"/>
    </xf>
    <xf numFmtId="0" fontId="55" fillId="0" borderId="42" xfId="0" applyFont="1" applyBorder="1" applyAlignment="1">
      <alignment horizontal="center" vertical="center" wrapText="1"/>
    </xf>
    <xf numFmtId="0" fontId="55" fillId="0" borderId="47" xfId="0" applyFont="1" applyBorder="1" applyAlignment="1">
      <alignment horizontal="center" vertical="center" wrapText="1"/>
    </xf>
    <xf numFmtId="0" fontId="55" fillId="0" borderId="41" xfId="0" applyFont="1" applyBorder="1" applyAlignment="1">
      <alignment horizontal="justify" vertical="center" wrapText="1"/>
    </xf>
    <xf numFmtId="4" fontId="53" fillId="0" borderId="41" xfId="2" applyNumberFormat="1" applyFont="1" applyBorder="1" applyAlignment="1">
      <alignment horizontal="center" vertical="center"/>
    </xf>
    <xf numFmtId="0" fontId="28" fillId="0" borderId="0" xfId="0" applyFont="1" applyAlignment="1">
      <alignment horizontal="center" vertical="top"/>
    </xf>
    <xf numFmtId="4" fontId="23" fillId="3" borderId="41" xfId="2" applyNumberFormat="1" applyFont="1" applyFill="1" applyBorder="1" applyAlignment="1">
      <alignment horizontal="center" vertical="center"/>
    </xf>
    <xf numFmtId="0" fontId="17" fillId="3" borderId="42" xfId="0" applyFont="1" applyFill="1" applyBorder="1" applyAlignment="1">
      <alignment horizontal="justify" vertical="center" wrapText="1"/>
    </xf>
    <xf numFmtId="0" fontId="17" fillId="3" borderId="46" xfId="0" applyFont="1" applyFill="1" applyBorder="1" applyAlignment="1">
      <alignment horizontal="justify" vertical="center" wrapText="1"/>
    </xf>
    <xf numFmtId="0" fontId="17" fillId="3" borderId="47" xfId="0" applyFont="1" applyFill="1" applyBorder="1" applyAlignment="1">
      <alignment horizontal="justify" vertical="center" wrapText="1"/>
    </xf>
    <xf numFmtId="4" fontId="24" fillId="3" borderId="41" xfId="2" applyNumberFormat="1" applyFont="1" applyFill="1" applyBorder="1" applyAlignment="1">
      <alignment horizontal="center" vertical="center"/>
    </xf>
    <xf numFmtId="4" fontId="24" fillId="0" borderId="42" xfId="2" applyNumberFormat="1" applyFont="1" applyFill="1" applyBorder="1" applyAlignment="1">
      <alignment horizontal="center" vertical="center"/>
    </xf>
    <xf numFmtId="4" fontId="24" fillId="0" borderId="46" xfId="2" applyNumberFormat="1" applyFont="1" applyFill="1" applyBorder="1" applyAlignment="1">
      <alignment horizontal="center" vertical="center"/>
    </xf>
    <xf numFmtId="4" fontId="24" fillId="0" borderId="47" xfId="2" applyNumberFormat="1" applyFont="1" applyFill="1" applyBorder="1" applyAlignment="1">
      <alignment horizontal="center" vertical="center"/>
    </xf>
    <xf numFmtId="4" fontId="23" fillId="0" borderId="42" xfId="2" applyNumberFormat="1" applyFont="1" applyFill="1" applyBorder="1" applyAlignment="1">
      <alignment horizontal="center" vertical="center"/>
    </xf>
    <xf numFmtId="4" fontId="23" fillId="0" borderId="46" xfId="2" applyNumberFormat="1" applyFont="1" applyFill="1" applyBorder="1" applyAlignment="1">
      <alignment horizontal="center" vertical="center"/>
    </xf>
    <xf numFmtId="4" fontId="23" fillId="0" borderId="47" xfId="2" applyNumberFormat="1" applyFont="1" applyFill="1" applyBorder="1" applyAlignment="1">
      <alignment horizontal="center" vertical="center"/>
    </xf>
    <xf numFmtId="0" fontId="17" fillId="0" borderId="41" xfId="0" applyFont="1" applyBorder="1" applyAlignment="1">
      <alignment horizontal="center" vertical="center" wrapText="1"/>
    </xf>
    <xf numFmtId="0" fontId="50" fillId="0" borderId="0" xfId="29" applyFont="1" applyAlignment="1">
      <alignment horizontal="center"/>
    </xf>
    <xf numFmtId="0" fontId="50" fillId="0" borderId="0" xfId="29" applyFont="1" applyAlignment="1">
      <alignment horizontal="center" vertical="top"/>
    </xf>
    <xf numFmtId="0" fontId="50" fillId="0" borderId="0" xfId="29" applyFont="1" applyAlignment="1">
      <alignment horizontal="center" wrapText="1"/>
    </xf>
    <xf numFmtId="0" fontId="28" fillId="0" borderId="0" xfId="0" applyFont="1" applyAlignment="1">
      <alignment horizontal="center"/>
    </xf>
    <xf numFmtId="0" fontId="56" fillId="0" borderId="0" xfId="0" applyFont="1" applyAlignment="1">
      <alignment horizontal="center"/>
    </xf>
    <xf numFmtId="0" fontId="5" fillId="12" borderId="44" xfId="0" applyFont="1" applyFill="1" applyBorder="1" applyAlignment="1">
      <alignment horizontal="center" vertical="center"/>
    </xf>
    <xf numFmtId="0" fontId="5" fillId="12" borderId="43" xfId="0" applyFont="1" applyFill="1" applyBorder="1" applyAlignment="1">
      <alignment horizontal="center" vertical="center"/>
    </xf>
    <xf numFmtId="0" fontId="57" fillId="12" borderId="42" xfId="0" applyFont="1" applyFill="1" applyBorder="1" applyAlignment="1">
      <alignment horizontal="center" vertical="center" wrapText="1"/>
    </xf>
    <xf numFmtId="0" fontId="57" fillId="12" borderId="47" xfId="0" applyFont="1" applyFill="1" applyBorder="1" applyAlignment="1">
      <alignment horizontal="center" vertical="center" wrapText="1"/>
    </xf>
    <xf numFmtId="0" fontId="5" fillId="12" borderId="45" xfId="0" applyFont="1" applyFill="1" applyBorder="1" applyAlignment="1">
      <alignment horizontal="center" vertical="center"/>
    </xf>
    <xf numFmtId="0" fontId="17" fillId="13" borderId="41" xfId="0" applyFont="1" applyFill="1" applyBorder="1" applyAlignment="1">
      <alignment horizontal="center" vertical="center" wrapText="1"/>
    </xf>
    <xf numFmtId="0" fontId="17" fillId="13" borderId="41" xfId="0" applyFont="1" applyFill="1" applyBorder="1" applyAlignment="1">
      <alignment horizontal="center" vertical="center"/>
    </xf>
    <xf numFmtId="0" fontId="21" fillId="13" borderId="44" xfId="0" applyFont="1" applyFill="1" applyBorder="1" applyAlignment="1">
      <alignment horizontal="center" vertical="center"/>
    </xf>
    <xf numFmtId="0" fontId="21" fillId="13" borderId="45" xfId="0" applyFont="1" applyFill="1" applyBorder="1" applyAlignment="1">
      <alignment horizontal="center" vertical="center"/>
    </xf>
    <xf numFmtId="0" fontId="21" fillId="13" borderId="43" xfId="0" applyFont="1" applyFill="1" applyBorder="1" applyAlignment="1">
      <alignment horizontal="center" vertical="center"/>
    </xf>
    <xf numFmtId="4" fontId="23" fillId="0" borderId="42" xfId="2" applyNumberFormat="1" applyFont="1" applyBorder="1" applyAlignment="1">
      <alignment horizontal="center" vertical="center"/>
    </xf>
    <xf numFmtId="4" fontId="23" fillId="0" borderId="47" xfId="2" applyNumberFormat="1" applyFont="1" applyBorder="1" applyAlignment="1">
      <alignment horizontal="center" vertical="center"/>
    </xf>
    <xf numFmtId="4" fontId="24" fillId="0" borderId="41" xfId="35" applyNumberFormat="1" applyFont="1" applyFill="1" applyBorder="1" applyAlignment="1">
      <alignment horizontal="center" vertical="center"/>
    </xf>
    <xf numFmtId="4" fontId="23" fillId="0" borderId="42" xfId="34" applyNumberFormat="1" applyFont="1" applyBorder="1" applyAlignment="1">
      <alignment horizontal="center" vertical="center"/>
    </xf>
    <xf numFmtId="4" fontId="23" fillId="0" borderId="46" xfId="34" applyNumberFormat="1" applyFont="1" applyBorder="1" applyAlignment="1">
      <alignment horizontal="center" vertical="center"/>
    </xf>
    <xf numFmtId="4" fontId="23" fillId="0" borderId="47" xfId="34" applyNumberFormat="1" applyFont="1" applyBorder="1" applyAlignment="1">
      <alignment horizontal="center" vertical="center"/>
    </xf>
    <xf numFmtId="0" fontId="22" fillId="0" borderId="0" xfId="0" applyFont="1" applyAlignment="1">
      <alignment horizontal="justify" vertical="center" wrapText="1"/>
    </xf>
    <xf numFmtId="0" fontId="50" fillId="0" borderId="0" xfId="29" applyFont="1" applyAlignment="1">
      <alignment horizontal="center" vertical="top" wrapText="1"/>
    </xf>
    <xf numFmtId="4" fontId="24" fillId="0" borderId="41" xfId="2" applyNumberFormat="1" applyFont="1" applyBorder="1" applyAlignment="1">
      <alignment horizontal="center" vertical="center"/>
    </xf>
    <xf numFmtId="4" fontId="23" fillId="3" borderId="42" xfId="2" applyNumberFormat="1" applyFont="1" applyFill="1" applyBorder="1" applyAlignment="1">
      <alignment horizontal="center" vertical="center"/>
    </xf>
    <xf numFmtId="4" fontId="23" fillId="3" borderId="46" xfId="2" applyNumberFormat="1" applyFont="1" applyFill="1" applyBorder="1" applyAlignment="1">
      <alignment horizontal="center" vertical="center"/>
    </xf>
    <xf numFmtId="4" fontId="23" fillId="3" borderId="47" xfId="2" applyNumberFormat="1" applyFont="1" applyFill="1" applyBorder="1" applyAlignment="1">
      <alignment horizontal="center" vertical="center"/>
    </xf>
    <xf numFmtId="4" fontId="24" fillId="3" borderId="42" xfId="2" applyNumberFormat="1" applyFont="1" applyFill="1" applyBorder="1" applyAlignment="1">
      <alignment horizontal="center" vertical="center"/>
    </xf>
    <xf numFmtId="4" fontId="24" fillId="3" borderId="46" xfId="2" applyNumberFormat="1" applyFont="1" applyFill="1" applyBorder="1" applyAlignment="1">
      <alignment horizontal="center" vertical="center"/>
    </xf>
    <xf numFmtId="4" fontId="24" fillId="3" borderId="47" xfId="2" applyNumberFormat="1" applyFont="1" applyFill="1" applyBorder="1" applyAlignment="1">
      <alignment horizontal="center" vertical="center"/>
    </xf>
    <xf numFmtId="0" fontId="50" fillId="0" borderId="0" xfId="29" applyFont="1" applyAlignment="1" applyProtection="1">
      <alignment horizontal="center" vertical="top"/>
      <protection hidden="1"/>
    </xf>
    <xf numFmtId="0" fontId="50" fillId="0" borderId="0" xfId="29" applyFont="1" applyAlignment="1" applyProtection="1">
      <alignment horizontal="center"/>
      <protection hidden="1"/>
    </xf>
    <xf numFmtId="0" fontId="21" fillId="12" borderId="41" xfId="0" applyFont="1" applyFill="1" applyBorder="1" applyAlignment="1" applyProtection="1">
      <alignment horizontal="center" vertical="center" wrapText="1"/>
      <protection hidden="1"/>
    </xf>
    <xf numFmtId="0" fontId="5" fillId="15" borderId="16" xfId="0" applyFont="1" applyFill="1" applyBorder="1" applyAlignment="1" applyProtection="1">
      <alignment horizontal="center" vertical="center"/>
      <protection hidden="1"/>
    </xf>
    <xf numFmtId="0" fontId="17" fillId="0" borderId="41" xfId="0" applyFont="1" applyBorder="1" applyAlignment="1" applyProtection="1">
      <alignment horizontal="center" vertical="center" wrapText="1"/>
      <protection hidden="1"/>
    </xf>
    <xf numFmtId="0" fontId="17" fillId="3" borderId="41" xfId="0" applyFont="1" applyFill="1" applyBorder="1" applyAlignment="1" applyProtection="1">
      <alignment horizontal="justify" vertical="center" wrapText="1"/>
      <protection hidden="1"/>
    </xf>
    <xf numFmtId="0" fontId="55" fillId="0" borderId="42" xfId="0" applyFont="1" applyBorder="1" applyAlignment="1" applyProtection="1">
      <alignment horizontal="center" vertical="center" wrapText="1"/>
      <protection hidden="1"/>
    </xf>
    <xf numFmtId="0" fontId="55" fillId="0" borderId="47" xfId="0" applyFont="1" applyBorder="1" applyAlignment="1" applyProtection="1">
      <alignment horizontal="center" vertical="center" wrapText="1"/>
      <protection hidden="1"/>
    </xf>
    <xf numFmtId="0" fontId="55" fillId="0" borderId="41" xfId="0" applyFont="1" applyBorder="1" applyAlignment="1" applyProtection="1">
      <alignment horizontal="justify" vertical="center" wrapText="1"/>
      <protection hidden="1"/>
    </xf>
    <xf numFmtId="0" fontId="27" fillId="13" borderId="22" xfId="0" applyFont="1" applyFill="1" applyBorder="1" applyAlignment="1" applyProtection="1">
      <alignment horizontal="center" vertical="center"/>
      <protection hidden="1"/>
    </xf>
    <xf numFmtId="0" fontId="21" fillId="13" borderId="42" xfId="0" applyFont="1" applyFill="1" applyBorder="1" applyAlignment="1" applyProtection="1">
      <alignment horizontal="center" vertical="center"/>
      <protection hidden="1"/>
    </xf>
    <xf numFmtId="0" fontId="21" fillId="13" borderId="47" xfId="0" applyFont="1" applyFill="1" applyBorder="1" applyAlignment="1" applyProtection="1">
      <alignment horizontal="center" vertical="center"/>
      <protection hidden="1"/>
    </xf>
    <xf numFmtId="0" fontId="57" fillId="12" borderId="41" xfId="0" applyFont="1" applyFill="1" applyBorder="1" applyAlignment="1" applyProtection="1">
      <alignment horizontal="center" vertical="center" wrapText="1"/>
      <protection hidden="1"/>
    </xf>
    <xf numFmtId="0" fontId="17" fillId="0" borderId="42" xfId="0" applyFont="1" applyBorder="1" applyAlignment="1" applyProtection="1">
      <alignment horizontal="center" vertical="center" wrapText="1"/>
      <protection hidden="1"/>
    </xf>
    <xf numFmtId="0" fontId="17" fillId="0" borderId="46" xfId="0" applyFont="1" applyBorder="1" applyAlignment="1" applyProtection="1">
      <alignment horizontal="center" vertical="center" wrapText="1"/>
      <protection hidden="1"/>
    </xf>
    <xf numFmtId="0" fontId="17" fillId="0" borderId="47" xfId="0" applyFont="1" applyBorder="1" applyAlignment="1" applyProtection="1">
      <alignment horizontal="center" vertical="center" wrapText="1"/>
      <protection hidden="1"/>
    </xf>
    <xf numFmtId="0" fontId="57" fillId="12" borderId="42" xfId="0" applyFont="1" applyFill="1" applyBorder="1" applyAlignment="1" applyProtection="1">
      <alignment horizontal="center" vertical="center" wrapText="1"/>
      <protection hidden="1"/>
    </xf>
    <xf numFmtId="0" fontId="57" fillId="12" borderId="47" xfId="0" applyFont="1" applyFill="1" applyBorder="1" applyAlignment="1" applyProtection="1">
      <alignment horizontal="center" vertical="center" wrapText="1"/>
      <protection hidden="1"/>
    </xf>
    <xf numFmtId="0" fontId="17" fillId="0" borderId="41" xfId="0" applyFont="1" applyBorder="1" applyAlignment="1" applyProtection="1">
      <alignment horizontal="justify" vertical="center" wrapText="1"/>
      <protection hidden="1"/>
    </xf>
    <xf numFmtId="0" fontId="5" fillId="12" borderId="44" xfId="0" applyFont="1" applyFill="1" applyBorder="1" applyAlignment="1" applyProtection="1">
      <alignment horizontal="center" vertical="center"/>
      <protection hidden="1"/>
    </xf>
    <xf numFmtId="0" fontId="5" fillId="12" borderId="45" xfId="0" applyFont="1" applyFill="1" applyBorder="1" applyAlignment="1" applyProtection="1">
      <alignment horizontal="center" vertical="center"/>
      <protection hidden="1"/>
    </xf>
    <xf numFmtId="0" fontId="5" fillId="12" borderId="43" xfId="0" applyFont="1" applyFill="1" applyBorder="1" applyAlignment="1" applyProtection="1">
      <alignment horizontal="center" vertical="center"/>
      <protection hidden="1"/>
    </xf>
    <xf numFmtId="0" fontId="50" fillId="0" borderId="0" xfId="29" applyFont="1" applyAlignment="1" applyProtection="1">
      <alignment horizontal="center" vertical="top" wrapText="1"/>
      <protection hidden="1"/>
    </xf>
    <xf numFmtId="0" fontId="28" fillId="0" borderId="0" xfId="0" applyFont="1" applyAlignment="1" applyProtection="1">
      <alignment horizontal="center"/>
      <protection hidden="1"/>
    </xf>
    <xf numFmtId="0" fontId="33" fillId="0" borderId="24" xfId="0" applyFont="1" applyBorder="1" applyAlignment="1">
      <alignment horizontal="justify" vertical="center" wrapText="1"/>
    </xf>
    <xf numFmtId="0" fontId="33" fillId="0" borderId="0" xfId="0" applyFont="1" applyAlignment="1">
      <alignment horizontal="justify" vertical="center" wrapText="1"/>
    </xf>
    <xf numFmtId="0" fontId="33" fillId="0" borderId="25" xfId="0" applyFont="1" applyBorder="1" applyAlignment="1">
      <alignment horizontal="justify" vertical="center" wrapText="1"/>
    </xf>
    <xf numFmtId="0" fontId="29" fillId="0" borderId="24" xfId="0" applyFont="1" applyBorder="1" applyAlignment="1">
      <alignment horizontal="justify" vertical="center" wrapText="1"/>
    </xf>
    <xf numFmtId="0" fontId="29" fillId="0" borderId="0" xfId="0" applyFont="1" applyAlignment="1">
      <alignment horizontal="justify" vertical="center" wrapText="1"/>
    </xf>
    <xf numFmtId="0" fontId="29" fillId="0" borderId="25" xfId="0" applyFont="1" applyBorder="1" applyAlignment="1">
      <alignment horizontal="justify" vertical="center" wrapText="1"/>
    </xf>
    <xf numFmtId="0" fontId="29" fillId="0" borderId="17" xfId="0" applyFont="1" applyBorder="1" applyAlignment="1">
      <alignment horizontal="justify" vertical="center" wrapText="1"/>
    </xf>
    <xf numFmtId="0" fontId="29" fillId="0" borderId="18" xfId="0" applyFont="1" applyBorder="1" applyAlignment="1">
      <alignment horizontal="justify" vertical="center" wrapText="1"/>
    </xf>
    <xf numFmtId="0" fontId="29" fillId="0" borderId="26" xfId="0" applyFont="1" applyBorder="1" applyAlignment="1">
      <alignment horizontal="justify" vertical="center" wrapText="1"/>
    </xf>
    <xf numFmtId="0" fontId="29" fillId="0" borderId="27" xfId="0" applyFont="1" applyBorder="1" applyAlignment="1">
      <alignment horizontal="justify" vertical="center" wrapText="1"/>
    </xf>
    <xf numFmtId="0" fontId="29" fillId="0" borderId="23" xfId="0" applyFont="1" applyBorder="1" applyAlignment="1">
      <alignment horizontal="justify" vertical="center" wrapText="1"/>
    </xf>
    <xf numFmtId="0" fontId="29" fillId="0" borderId="28" xfId="0" applyFont="1" applyBorder="1" applyAlignment="1">
      <alignment horizontal="justify" vertical="center" wrapText="1"/>
    </xf>
    <xf numFmtId="0" fontId="22" fillId="0" borderId="0" xfId="0" applyFont="1" applyAlignment="1">
      <alignment horizontal="center" vertical="center"/>
    </xf>
    <xf numFmtId="0" fontId="33" fillId="3" borderId="24" xfId="0" applyFont="1" applyFill="1" applyBorder="1" applyAlignment="1">
      <alignment horizontal="justify" vertical="center" wrapText="1"/>
    </xf>
    <xf numFmtId="0" fontId="33" fillId="3" borderId="0" xfId="0" applyFont="1" applyFill="1" applyAlignment="1">
      <alignment horizontal="justify" vertical="center" wrapText="1"/>
    </xf>
    <xf numFmtId="0" fontId="33" fillId="3" borderId="25" xfId="0" applyFont="1" applyFill="1" applyBorder="1" applyAlignment="1">
      <alignment horizontal="justify" vertical="center" wrapText="1"/>
    </xf>
    <xf numFmtId="0" fontId="33" fillId="3" borderId="17" xfId="0" applyFont="1" applyFill="1" applyBorder="1" applyAlignment="1">
      <alignment horizontal="justify" vertical="center" wrapText="1"/>
    </xf>
    <xf numFmtId="0" fontId="33" fillId="3" borderId="18" xfId="0" applyFont="1" applyFill="1" applyBorder="1" applyAlignment="1">
      <alignment horizontal="justify" vertical="center" wrapText="1"/>
    </xf>
    <xf numFmtId="0" fontId="33" fillId="3" borderId="26" xfId="0" applyFont="1" applyFill="1" applyBorder="1" applyAlignment="1">
      <alignment horizontal="justify" vertical="center" wrapText="1"/>
    </xf>
    <xf numFmtId="0" fontId="7" fillId="2" borderId="37" xfId="0" applyFont="1" applyFill="1" applyBorder="1" applyAlignment="1">
      <alignment horizontal="center"/>
    </xf>
    <xf numFmtId="0" fontId="7" fillId="2" borderId="35" xfId="0" applyFont="1" applyFill="1" applyBorder="1" applyAlignment="1">
      <alignment horizontal="center"/>
    </xf>
    <xf numFmtId="0" fontId="7" fillId="2" borderId="36" xfId="0" applyFont="1" applyFill="1" applyBorder="1" applyAlignment="1">
      <alignment horizontal="center"/>
    </xf>
    <xf numFmtId="0" fontId="8" fillId="2" borderId="37" xfId="0" applyFont="1" applyFill="1" applyBorder="1" applyAlignment="1">
      <alignment horizontal="center" vertical="center"/>
    </xf>
    <xf numFmtId="0" fontId="8" fillId="2" borderId="35" xfId="0" applyFont="1" applyFill="1" applyBorder="1" applyAlignment="1">
      <alignment horizontal="center" vertical="center"/>
    </xf>
    <xf numFmtId="0" fontId="8" fillId="2" borderId="36" xfId="0" applyFont="1" applyFill="1" applyBorder="1" applyAlignment="1">
      <alignment horizontal="center" vertical="center"/>
    </xf>
    <xf numFmtId="44" fontId="9" fillId="6" borderId="2" xfId="2" applyFont="1" applyFill="1" applyBorder="1" applyAlignment="1">
      <alignment vertical="center"/>
    </xf>
    <xf numFmtId="44" fontId="9" fillId="6" borderId="3" xfId="2" applyFont="1" applyFill="1" applyBorder="1" applyAlignment="1">
      <alignment vertical="center"/>
    </xf>
    <xf numFmtId="44" fontId="9" fillId="0" borderId="15" xfId="2" applyFont="1" applyBorder="1" applyAlignment="1">
      <alignment horizontal="center" vertical="center"/>
    </xf>
    <xf numFmtId="44" fontId="9" fillId="0" borderId="8" xfId="2" applyFont="1" applyBorder="1" applyAlignment="1">
      <alignment horizontal="center" vertical="center"/>
    </xf>
    <xf numFmtId="44" fontId="9" fillId="0" borderId="2" xfId="2" applyFont="1" applyBorder="1" applyAlignment="1">
      <alignment vertical="center"/>
    </xf>
    <xf numFmtId="44" fontId="9" fillId="0" borderId="3" xfId="2" applyFont="1" applyBorder="1" applyAlignment="1">
      <alignment vertical="center"/>
    </xf>
    <xf numFmtId="44" fontId="9" fillId="0" borderId="15" xfId="2" applyFont="1" applyBorder="1" applyAlignment="1">
      <alignment vertical="center"/>
    </xf>
    <xf numFmtId="44" fontId="9" fillId="0" borderId="8" xfId="2" applyFont="1" applyBorder="1" applyAlignment="1">
      <alignment vertical="center"/>
    </xf>
    <xf numFmtId="44" fontId="9" fillId="5" borderId="15" xfId="2" applyFont="1" applyFill="1" applyBorder="1" applyAlignment="1">
      <alignment horizontal="center" vertical="center"/>
    </xf>
    <xf numFmtId="44" fontId="9" fillId="5" borderId="8" xfId="2" applyFont="1" applyFill="1" applyBorder="1" applyAlignment="1">
      <alignment horizontal="center" vertical="center"/>
    </xf>
    <xf numFmtId="44" fontId="9" fillId="5" borderId="2" xfId="2" applyFont="1" applyFill="1" applyBorder="1" applyAlignment="1">
      <alignment horizontal="center" vertical="center"/>
    </xf>
    <xf numFmtId="44" fontId="9" fillId="5" borderId="3" xfId="2" applyFont="1" applyFill="1" applyBorder="1" applyAlignment="1">
      <alignment horizontal="center" vertical="center"/>
    </xf>
    <xf numFmtId="0" fontId="6" fillId="0" borderId="37"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36" xfId="0" applyFont="1" applyBorder="1" applyAlignment="1">
      <alignment horizontal="center" vertical="center" wrapText="1"/>
    </xf>
    <xf numFmtId="0" fontId="16" fillId="0" borderId="31" xfId="0" applyFont="1" applyBorder="1" applyAlignment="1">
      <alignment horizontal="center" vertical="center"/>
    </xf>
    <xf numFmtId="44" fontId="16" fillId="0" borderId="0" xfId="0" applyNumberFormat="1" applyFont="1" applyAlignment="1">
      <alignment horizontal="center" vertical="center"/>
    </xf>
    <xf numFmtId="0" fontId="16" fillId="0" borderId="0" xfId="0" applyFont="1" applyAlignment="1">
      <alignment horizontal="center" vertical="center"/>
    </xf>
    <xf numFmtId="44" fontId="9" fillId="6" borderId="15" xfId="2" applyFont="1" applyFill="1" applyBorder="1" applyAlignment="1">
      <alignment horizontal="center" vertical="center"/>
    </xf>
    <xf numFmtId="44" fontId="9" fillId="6" borderId="8" xfId="2" applyFont="1" applyFill="1" applyBorder="1" applyAlignment="1">
      <alignment horizontal="center" vertical="center"/>
    </xf>
    <xf numFmtId="44" fontId="9" fillId="0" borderId="15" xfId="2" applyFont="1" applyFill="1" applyBorder="1" applyAlignment="1">
      <alignment horizontal="center" vertical="center"/>
    </xf>
    <xf numFmtId="44" fontId="9" fillId="0" borderId="8" xfId="2" applyFont="1" applyFill="1" applyBorder="1" applyAlignment="1">
      <alignment horizontal="center" vertical="center"/>
    </xf>
    <xf numFmtId="44" fontId="11" fillId="14" borderId="15" xfId="2" applyFont="1" applyFill="1" applyBorder="1" applyAlignment="1">
      <alignment horizontal="center" vertical="center"/>
    </xf>
    <xf numFmtId="44" fontId="11" fillId="14" borderId="8" xfId="2" applyFont="1" applyFill="1" applyBorder="1" applyAlignment="1">
      <alignment horizontal="center" vertical="center"/>
    </xf>
    <xf numFmtId="44" fontId="9" fillId="0" borderId="6" xfId="2" applyFont="1" applyBorder="1" applyAlignment="1">
      <alignment horizontal="center" vertical="center"/>
    </xf>
    <xf numFmtId="44" fontId="9" fillId="0" borderId="29" xfId="2" applyFont="1" applyBorder="1" applyAlignment="1">
      <alignment horizontal="center" vertical="center"/>
    </xf>
    <xf numFmtId="44" fontId="9" fillId="0" borderId="2" xfId="2" applyFont="1" applyBorder="1" applyAlignment="1">
      <alignment horizontal="center" vertical="center"/>
    </xf>
    <xf numFmtId="44" fontId="9" fillId="0" borderId="3" xfId="2" applyFont="1" applyBorder="1" applyAlignment="1">
      <alignment horizontal="center" vertical="center"/>
    </xf>
    <xf numFmtId="44" fontId="9" fillId="0" borderId="2" xfId="2" applyFont="1" applyBorder="1" applyAlignment="1">
      <alignment horizontal="center"/>
    </xf>
    <xf numFmtId="44" fontId="9" fillId="0" borderId="3" xfId="2" applyFont="1" applyBorder="1" applyAlignment="1">
      <alignment horizontal="center"/>
    </xf>
    <xf numFmtId="44" fontId="9" fillId="0" borderId="2" xfId="2" applyFont="1" applyFill="1" applyBorder="1" applyAlignment="1">
      <alignment vertical="center"/>
    </xf>
    <xf numFmtId="44" fontId="9" fillId="0" borderId="3" xfId="2" applyFont="1" applyFill="1" applyBorder="1" applyAlignment="1">
      <alignment vertical="center"/>
    </xf>
    <xf numFmtId="44" fontId="9" fillId="0" borderId="4" xfId="2" applyFont="1" applyBorder="1" applyAlignment="1">
      <alignment vertical="center"/>
    </xf>
    <xf numFmtId="44" fontId="9" fillId="6" borderId="4" xfId="2" applyFont="1" applyFill="1" applyBorder="1" applyAlignment="1">
      <alignment vertical="center"/>
    </xf>
    <xf numFmtId="0" fontId="13" fillId="0" borderId="2" xfId="0" applyFont="1" applyBorder="1" applyAlignment="1">
      <alignment horizontal="center" vertical="center" textRotation="90" wrapText="1"/>
    </xf>
    <xf numFmtId="0" fontId="13" fillId="0" borderId="3"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0" fontId="13" fillId="3" borderId="15" xfId="0" applyFont="1" applyFill="1" applyBorder="1" applyAlignment="1">
      <alignment horizontal="center" vertical="center" textRotation="90" wrapText="1"/>
    </xf>
    <xf numFmtId="0" fontId="13" fillId="3" borderId="8" xfId="0" applyFont="1" applyFill="1" applyBorder="1" applyAlignment="1">
      <alignment horizontal="center" vertical="center" textRotation="90" wrapText="1"/>
    </xf>
    <xf numFmtId="0" fontId="13" fillId="3" borderId="3" xfId="0" applyFont="1" applyFill="1" applyBorder="1" applyAlignment="1">
      <alignment horizontal="center" vertical="center" textRotation="90" wrapText="1"/>
    </xf>
    <xf numFmtId="0" fontId="13" fillId="3" borderId="4" xfId="0" applyFont="1" applyFill="1" applyBorder="1" applyAlignment="1">
      <alignment horizontal="center" vertical="center" textRotation="90" wrapText="1"/>
    </xf>
    <xf numFmtId="0" fontId="58" fillId="2" borderId="30" xfId="0" applyFont="1" applyFill="1" applyBorder="1" applyAlignment="1">
      <alignment horizontal="center" vertical="center" wrapText="1"/>
    </xf>
    <xf numFmtId="0" fontId="58" fillId="2" borderId="31" xfId="0" applyFont="1" applyFill="1" applyBorder="1" applyAlignment="1">
      <alignment horizontal="center" vertical="center" wrapText="1"/>
    </xf>
    <xf numFmtId="0" fontId="58" fillId="2" borderId="32" xfId="0" applyFont="1" applyFill="1" applyBorder="1" applyAlignment="1">
      <alignment horizontal="center" vertical="center" wrapText="1"/>
    </xf>
    <xf numFmtId="0" fontId="58" fillId="2" borderId="33" xfId="0" applyFont="1" applyFill="1" applyBorder="1" applyAlignment="1">
      <alignment horizontal="center" vertical="center" wrapText="1"/>
    </xf>
    <xf numFmtId="0" fontId="58" fillId="2" borderId="0" xfId="0" applyFont="1" applyFill="1" applyAlignment="1">
      <alignment horizontal="center" vertical="center" wrapText="1"/>
    </xf>
    <xf numFmtId="0" fontId="58" fillId="2" borderId="34" xfId="0" applyFont="1" applyFill="1" applyBorder="1" applyAlignment="1">
      <alignment horizontal="center" vertical="center" wrapText="1"/>
    </xf>
    <xf numFmtId="0" fontId="39" fillId="3" borderId="38" xfId="0" applyFont="1" applyFill="1" applyBorder="1" applyAlignment="1">
      <alignment horizontal="center" vertical="center" textRotation="90" wrapText="1"/>
    </xf>
    <xf numFmtId="0" fontId="39" fillId="3" borderId="39" xfId="0" applyFont="1" applyFill="1" applyBorder="1" applyAlignment="1">
      <alignment horizontal="center" vertical="center" textRotation="90" wrapText="1"/>
    </xf>
    <xf numFmtId="0" fontId="39" fillId="3" borderId="40" xfId="0" applyFont="1" applyFill="1" applyBorder="1" applyAlignment="1">
      <alignment horizontal="center" vertical="center" textRotation="90" wrapText="1"/>
    </xf>
    <xf numFmtId="0" fontId="39" fillId="3" borderId="2" xfId="0" applyFont="1" applyFill="1" applyBorder="1" applyAlignment="1">
      <alignment horizontal="center" vertical="center" textRotation="90" wrapText="1"/>
    </xf>
    <xf numFmtId="0" fontId="39" fillId="3" borderId="3" xfId="0" applyFont="1" applyFill="1" applyBorder="1" applyAlignment="1">
      <alignment horizontal="center" vertical="center" textRotation="90" wrapText="1"/>
    </xf>
    <xf numFmtId="0" fontId="59" fillId="0" borderId="16" xfId="0" applyFont="1" applyBorder="1" applyAlignment="1">
      <alignment horizontal="center"/>
    </xf>
    <xf numFmtId="0" fontId="18" fillId="7" borderId="16" xfId="0" applyFont="1" applyFill="1" applyBorder="1" applyAlignment="1">
      <alignment horizontal="left" vertical="center" wrapText="1"/>
    </xf>
    <xf numFmtId="0" fontId="18" fillId="9" borderId="19" xfId="0" applyFont="1" applyFill="1" applyBorder="1" applyAlignment="1">
      <alignment horizontal="center" vertical="center" wrapText="1"/>
    </xf>
    <xf numFmtId="0" fontId="18" fillId="9" borderId="21" xfId="0" applyFont="1" applyFill="1" applyBorder="1" applyAlignment="1">
      <alignment horizontal="center" vertical="center" wrapText="1"/>
    </xf>
    <xf numFmtId="0" fontId="41" fillId="9" borderId="16" xfId="0" applyFont="1" applyFill="1" applyBorder="1" applyAlignment="1">
      <alignment horizontal="center" vertical="center" wrapText="1"/>
    </xf>
    <xf numFmtId="0" fontId="37" fillId="0" borderId="18" xfId="0" applyFont="1" applyBorder="1" applyAlignment="1">
      <alignment horizontal="center" vertical="center"/>
    </xf>
    <xf numFmtId="8" fontId="41" fillId="9" borderId="19" xfId="0" applyNumberFormat="1" applyFont="1" applyFill="1" applyBorder="1" applyAlignment="1">
      <alignment horizontal="center" vertical="center"/>
    </xf>
    <xf numFmtId="8" fontId="41" fillId="9" borderId="21" xfId="0" applyNumberFormat="1" applyFont="1" applyFill="1" applyBorder="1" applyAlignment="1">
      <alignment horizontal="center" vertical="center"/>
    </xf>
  </cellXfs>
  <cellStyles count="42">
    <cellStyle name="Excel Built-in Normal" xfId="1" xr:uid="{00000000-0005-0000-0000-000002000000}"/>
    <cellStyle name="Moeda" xfId="2" builtinId="4"/>
    <cellStyle name="Moeda 2" xfId="3" xr:uid="{00000000-0005-0000-0000-000003000000}"/>
    <cellStyle name="Moeda 2 2" xfId="4" xr:uid="{00000000-0005-0000-0000-000004000000}"/>
    <cellStyle name="Moeda 2 2 2" xfId="5" xr:uid="{00000000-0005-0000-0000-000005000000}"/>
    <cellStyle name="Moeda 2 3" xfId="6" xr:uid="{00000000-0005-0000-0000-000006000000}"/>
    <cellStyle name="Moeda 2 3 2" xfId="7" xr:uid="{00000000-0005-0000-0000-000007000000}"/>
    <cellStyle name="Moeda 2 4" xfId="8" xr:uid="{00000000-0005-0000-0000-000008000000}"/>
    <cellStyle name="Moeda 2 5" xfId="9" xr:uid="{00000000-0005-0000-0000-000009000000}"/>
    <cellStyle name="Moeda 2 5 2" xfId="10" xr:uid="{00000000-0005-0000-0000-00000A000000}"/>
    <cellStyle name="Moeda 3" xfId="11" xr:uid="{00000000-0005-0000-0000-00000B000000}"/>
    <cellStyle name="Moeda 3 2" xfId="12" xr:uid="{00000000-0005-0000-0000-00000C000000}"/>
    <cellStyle name="Moeda 4" xfId="13" xr:uid="{00000000-0005-0000-0000-00000D000000}"/>
    <cellStyle name="Moeda 4 2" xfId="14" xr:uid="{00000000-0005-0000-0000-00000E000000}"/>
    <cellStyle name="Moeda 5" xfId="15" xr:uid="{00000000-0005-0000-0000-00000F000000}"/>
    <cellStyle name="Moeda 5 2" xfId="16" xr:uid="{00000000-0005-0000-0000-000010000000}"/>
    <cellStyle name="Moeda 5 2 2" xfId="17" xr:uid="{00000000-0005-0000-0000-000011000000}"/>
    <cellStyle name="Moeda 5 3" xfId="18" xr:uid="{00000000-0005-0000-0000-000012000000}"/>
    <cellStyle name="Moeda 6" xfId="19" xr:uid="{00000000-0005-0000-0000-000013000000}"/>
    <cellStyle name="Moeda 6 2" xfId="20" xr:uid="{00000000-0005-0000-0000-000014000000}"/>
    <cellStyle name="Moeda 7" xfId="21" xr:uid="{00000000-0005-0000-0000-000015000000}"/>
    <cellStyle name="Moeda 7 2" xfId="22" xr:uid="{00000000-0005-0000-0000-000016000000}"/>
    <cellStyle name="Moeda 8" xfId="23" xr:uid="{00000000-0005-0000-0000-000017000000}"/>
    <cellStyle name="Moeda 8 2" xfId="24" xr:uid="{00000000-0005-0000-0000-000018000000}"/>
    <cellStyle name="Moeda 9" xfId="25" xr:uid="{00000000-0005-0000-0000-000019000000}"/>
    <cellStyle name="Normal" xfId="0" builtinId="0"/>
    <cellStyle name="Normal 2" xfId="26" xr:uid="{00000000-0005-0000-0000-00001B000000}"/>
    <cellStyle name="Normal 2 2" xfId="27" xr:uid="{00000000-0005-0000-0000-00001C000000}"/>
    <cellStyle name="Normal 3" xfId="28" xr:uid="{00000000-0005-0000-0000-00001D000000}"/>
    <cellStyle name="Normal 4" xfId="29" xr:uid="{00000000-0005-0000-0000-00001E000000}"/>
    <cellStyle name="Porcentagem" xfId="30" builtinId="5"/>
    <cellStyle name="Porcentagem 2" xfId="31" xr:uid="{00000000-0005-0000-0000-000020000000}"/>
    <cellStyle name="Porcentagem 3" xfId="32" xr:uid="{00000000-0005-0000-0000-000021000000}"/>
    <cellStyle name="Título 5" xfId="33" xr:uid="{00000000-0005-0000-0000-000022000000}"/>
    <cellStyle name="Vírgula" xfId="34" builtinId="3"/>
    <cellStyle name="Vírgula 2" xfId="35" xr:uid="{00000000-0005-0000-0000-000023000000}"/>
    <cellStyle name="Vírgula 2 2" xfId="36" xr:uid="{00000000-0005-0000-0000-000024000000}"/>
    <cellStyle name="Vírgula 3" xfId="37" xr:uid="{00000000-0005-0000-0000-000025000000}"/>
    <cellStyle name="Vírgula 3 2" xfId="38" xr:uid="{00000000-0005-0000-0000-000026000000}"/>
    <cellStyle name="Vírgula 4" xfId="39" xr:uid="{00000000-0005-0000-0000-000027000000}"/>
    <cellStyle name="Vírgula 4 2" xfId="40" xr:uid="{00000000-0005-0000-0000-000028000000}"/>
    <cellStyle name="Vírgula 5" xfId="41" xr:uid="{00000000-0005-0000-0000-000029000000}"/>
  </cellStyles>
  <dxfs count="23">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FF0000"/>
      </font>
    </dxf>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C3C3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50"/>
  <sheetViews>
    <sheetView topLeftCell="A33" zoomScaleNormal="100" zoomScaleSheetLayoutView="100" workbookViewId="0">
      <selection activeCell="F56" sqref="F56"/>
    </sheetView>
  </sheetViews>
  <sheetFormatPr defaultColWidth="8.85546875" defaultRowHeight="12.75" x14ac:dyDescent="0.2"/>
  <cols>
    <col min="1" max="1" width="11.42578125" style="135" customWidth="1"/>
    <col min="2" max="2" width="36.7109375" style="136" customWidth="1"/>
    <col min="3" max="3" width="11.85546875" style="136" customWidth="1"/>
    <col min="4" max="4" width="38.42578125" style="132" bestFit="1" customWidth="1"/>
    <col min="5" max="5" width="16" style="145" hidden="1" customWidth="1"/>
    <col min="6" max="6" width="18.42578125" style="133" customWidth="1"/>
    <col min="7" max="7" width="13.42578125" style="145" hidden="1" customWidth="1"/>
    <col min="8" max="8" width="21.140625" style="133" customWidth="1"/>
    <col min="9" max="9" width="3.7109375" style="124" customWidth="1"/>
    <col min="10" max="10" width="3.7109375" style="124" hidden="1" customWidth="1"/>
    <col min="11" max="11" width="3.7109375" style="124" customWidth="1"/>
    <col min="12" max="12" width="11.7109375" style="132" hidden="1" customWidth="1"/>
    <col min="13" max="13" width="9.28515625" style="133" hidden="1" customWidth="1"/>
    <col min="14" max="14" width="11" style="133" bestFit="1" customWidth="1"/>
    <col min="15" max="15" width="9.28515625" style="133" bestFit="1" customWidth="1"/>
    <col min="16" max="16384" width="8.85546875" style="124"/>
  </cols>
  <sheetData>
    <row r="1" spans="1:15" ht="23.25" customHeight="1" thickTop="1" thickBot="1" x14ac:dyDescent="0.25">
      <c r="A1" s="283" t="s">
        <v>0</v>
      </c>
      <c r="B1" s="283"/>
      <c r="C1" s="283"/>
      <c r="D1" s="283"/>
      <c r="E1" s="283"/>
      <c r="F1" s="283"/>
      <c r="G1" s="283"/>
      <c r="H1" s="283"/>
      <c r="L1" s="285" t="s">
        <v>1</v>
      </c>
      <c r="M1" s="285"/>
      <c r="N1" s="286" t="s">
        <v>1</v>
      </c>
      <c r="O1" s="286"/>
    </row>
    <row r="2" spans="1:15" ht="21.75" customHeight="1" thickTop="1" thickBot="1" x14ac:dyDescent="0.25">
      <c r="A2" s="284" t="s">
        <v>2</v>
      </c>
      <c r="B2" s="284" t="s">
        <v>3</v>
      </c>
      <c r="C2" s="284" t="s">
        <v>4</v>
      </c>
      <c r="D2" s="284" t="s">
        <v>5</v>
      </c>
      <c r="E2" s="285" t="s">
        <v>6</v>
      </c>
      <c r="F2" s="285"/>
      <c r="G2" s="285" t="s">
        <v>7</v>
      </c>
      <c r="H2" s="285"/>
      <c r="L2" s="282" t="s">
        <v>8</v>
      </c>
      <c r="M2" s="282"/>
      <c r="N2" s="282" t="s">
        <v>9</v>
      </c>
      <c r="O2" s="282"/>
    </row>
    <row r="3" spans="1:15" ht="27" customHeight="1" thickTop="1" thickBot="1" x14ac:dyDescent="0.25">
      <c r="A3" s="284"/>
      <c r="B3" s="284"/>
      <c r="C3" s="284"/>
      <c r="D3" s="284"/>
      <c r="E3" s="148" t="s">
        <v>10</v>
      </c>
      <c r="F3" s="137" t="s">
        <v>11</v>
      </c>
      <c r="G3" s="137" t="s">
        <v>10</v>
      </c>
      <c r="H3" s="137" t="s">
        <v>11</v>
      </c>
      <c r="L3" s="137" t="s">
        <v>12</v>
      </c>
      <c r="M3" s="137" t="s">
        <v>13</v>
      </c>
      <c r="N3" s="137" t="s">
        <v>12</v>
      </c>
      <c r="O3" s="137" t="s">
        <v>13</v>
      </c>
    </row>
    <row r="4" spans="1:15" ht="24.95" customHeight="1" thickTop="1" thickBot="1" x14ac:dyDescent="0.25">
      <c r="A4" s="288" t="s">
        <v>14</v>
      </c>
      <c r="B4" s="281" t="s">
        <v>15</v>
      </c>
      <c r="C4" s="139" t="s">
        <v>16</v>
      </c>
      <c r="D4" s="125" t="s">
        <v>17</v>
      </c>
      <c r="E4" s="274">
        <v>4377316.72</v>
      </c>
      <c r="F4" s="287">
        <v>4455222.9000000004</v>
      </c>
      <c r="G4" s="157">
        <v>396</v>
      </c>
      <c r="H4" s="245">
        <v>396</v>
      </c>
      <c r="L4" s="163">
        <f>IF(G4&lt;=0,0,$E$4/G4)</f>
        <v>11053.8301010101</v>
      </c>
      <c r="M4" s="166">
        <f>IF($E$4&lt;=0,0,G4/$E$4)</f>
        <v>9.0466380509016491E-5</v>
      </c>
      <c r="N4" s="163">
        <f>IF(H4&lt;=0,0,$F$4/H4)</f>
        <v>11250.56287878788</v>
      </c>
      <c r="O4" s="166">
        <f>IF($F$4&lt;=0,0,H4/$F$4)</f>
        <v>8.888444167406303E-5</v>
      </c>
    </row>
    <row r="5" spans="1:15" ht="24.95" customHeight="1" thickTop="1" thickBot="1" x14ac:dyDescent="0.25">
      <c r="A5" s="289"/>
      <c r="B5" s="281"/>
      <c r="C5" s="139" t="s">
        <v>18</v>
      </c>
      <c r="D5" s="125" t="s">
        <v>19</v>
      </c>
      <c r="E5" s="274"/>
      <c r="F5" s="287"/>
      <c r="G5" s="157">
        <v>180</v>
      </c>
      <c r="H5" s="245">
        <v>180</v>
      </c>
      <c r="L5" s="163">
        <f>IF(G5&lt;=0,0,$E$4/G5)</f>
        <v>24318.426222222221</v>
      </c>
      <c r="M5" s="166">
        <f>IF($E$4&lt;=0,0,G5/$E$4)</f>
        <v>4.1121082049552951E-5</v>
      </c>
      <c r="N5" s="163">
        <f>IF(H5&lt;=0,0,$F$4/H5)</f>
        <v>24751.238333333335</v>
      </c>
      <c r="O5" s="166">
        <f>IF($F$4&lt;=0,0,H5/$F$4)</f>
        <v>4.0402018942755923E-5</v>
      </c>
    </row>
    <row r="6" spans="1:15" ht="30" customHeight="1" thickTop="1" thickBot="1" x14ac:dyDescent="0.25">
      <c r="A6" s="289"/>
      <c r="B6" s="281"/>
      <c r="C6" s="139" t="s">
        <v>20</v>
      </c>
      <c r="D6" s="125" t="s">
        <v>21</v>
      </c>
      <c r="E6" s="274"/>
      <c r="F6" s="287"/>
      <c r="G6" s="157">
        <v>72</v>
      </c>
      <c r="H6" s="245">
        <v>72</v>
      </c>
      <c r="L6" s="163">
        <f>IF(G6&lt;=0,0,$E$4/G6)</f>
        <v>60796.06555555555</v>
      </c>
      <c r="M6" s="166">
        <f>IF($E$4&lt;=0,0,G6/$E$4)</f>
        <v>1.6448432819821181E-5</v>
      </c>
      <c r="N6" s="163">
        <f>IF(H6&lt;=0,0,$F$4/H6)</f>
        <v>61878.09583333334</v>
      </c>
      <c r="O6" s="166">
        <f>IF($F$4&lt;=0,0,H6/$F$4)</f>
        <v>1.616080757710237E-5</v>
      </c>
    </row>
    <row r="7" spans="1:15" ht="24.95" customHeight="1" thickTop="1" thickBot="1" x14ac:dyDescent="0.25">
      <c r="A7" s="290"/>
      <c r="B7" s="281"/>
      <c r="C7" s="139" t="s">
        <v>22</v>
      </c>
      <c r="D7" s="126" t="s">
        <v>23</v>
      </c>
      <c r="E7" s="274"/>
      <c r="F7" s="287"/>
      <c r="G7" s="157">
        <v>1760</v>
      </c>
      <c r="H7" s="245">
        <v>1780</v>
      </c>
      <c r="L7" s="163">
        <f>IF(G7&lt;=0,0,$E$4/G7)</f>
        <v>2487.1117727272726</v>
      </c>
      <c r="M7" s="166">
        <f>IF($E$4&lt;=0,0,G7/$E$4)</f>
        <v>4.0207280226229556E-4</v>
      </c>
      <c r="N7" s="163">
        <f>IF(H7&lt;=0,0,$F$4/H7)</f>
        <v>2502.9342134831463</v>
      </c>
      <c r="O7" s="166">
        <f>IF($F$4&lt;=0,0,H7/$F$4)</f>
        <v>3.995310762116975E-4</v>
      </c>
    </row>
    <row r="8" spans="1:15" ht="24.95" customHeight="1" thickTop="1" thickBot="1" x14ac:dyDescent="0.25">
      <c r="A8" s="294" t="s">
        <v>24</v>
      </c>
      <c r="B8" s="296" t="s">
        <v>25</v>
      </c>
      <c r="C8" s="139" t="s">
        <v>26</v>
      </c>
      <c r="D8" s="125" t="s">
        <v>19</v>
      </c>
      <c r="E8" s="275">
        <v>1285415.6299999999</v>
      </c>
      <c r="F8" s="297">
        <v>1386128.19</v>
      </c>
      <c r="G8" s="157">
        <v>180</v>
      </c>
      <c r="H8" s="245">
        <v>180</v>
      </c>
      <c r="L8" s="163">
        <f>IF(G16&lt;=0,0,$E$8/G8)</f>
        <v>7141.1979444444441</v>
      </c>
      <c r="M8" s="166">
        <f>IF($E$8&lt;=0,0,G8/$E$8)</f>
        <v>1.4003252784470968E-4</v>
      </c>
      <c r="N8" s="163">
        <f>IF(H8&lt;=0,0,F8/H8)</f>
        <v>7700.7121666666662</v>
      </c>
      <c r="O8" s="166">
        <f>IF(F8&lt;=0,0,H8/F8)</f>
        <v>1.2985811939947634E-4</v>
      </c>
    </row>
    <row r="9" spans="1:15" ht="24.95" customHeight="1" thickTop="1" thickBot="1" x14ac:dyDescent="0.25">
      <c r="A9" s="295"/>
      <c r="B9" s="296"/>
      <c r="C9" s="139" t="s">
        <v>27</v>
      </c>
      <c r="D9" s="125" t="s">
        <v>23</v>
      </c>
      <c r="E9" s="276"/>
      <c r="F9" s="297"/>
      <c r="G9" s="157">
        <v>4200</v>
      </c>
      <c r="H9" s="245">
        <v>4400</v>
      </c>
      <c r="L9" s="163">
        <f>IF(G17&lt;=0,0,$E$8/G9)</f>
        <v>306.05134047619043</v>
      </c>
      <c r="M9" s="166">
        <f>IF($E$8&lt;=0,0,G9/$E$8)</f>
        <v>3.2674256497098922E-3</v>
      </c>
      <c r="N9" s="163">
        <f>IF(H9&lt;=0,0,F8/H9)</f>
        <v>315.02913409090905</v>
      </c>
      <c r="O9" s="166">
        <f>IF(F8&lt;=0,0,H9/F8)</f>
        <v>3.1743095853205322E-3</v>
      </c>
    </row>
    <row r="10" spans="1:15" ht="24.75" customHeight="1" thickTop="1" thickBot="1" x14ac:dyDescent="0.25">
      <c r="A10" s="138" t="s">
        <v>28</v>
      </c>
      <c r="B10" s="125" t="s">
        <v>29</v>
      </c>
      <c r="C10" s="139" t="s">
        <v>30</v>
      </c>
      <c r="D10" s="125" t="s">
        <v>23</v>
      </c>
      <c r="E10" s="159">
        <v>756053.89</v>
      </c>
      <c r="F10" s="239">
        <v>1040211.25</v>
      </c>
      <c r="G10" s="157">
        <v>1500</v>
      </c>
      <c r="H10" s="245">
        <v>1620</v>
      </c>
      <c r="L10" s="163">
        <f>IF(G10&lt;=0,0,E10/G10)</f>
        <v>504.03592666666668</v>
      </c>
      <c r="M10" s="166">
        <f>IF(E10&lt;=0,0,G10/E10)</f>
        <v>1.9839855595478783E-3</v>
      </c>
      <c r="N10" s="163">
        <f>IF(H10&lt;=0,0,F10/H10)</f>
        <v>642.10570987654319</v>
      </c>
      <c r="O10" s="166">
        <f>IF(F10&lt;=0,0,H10/F10)</f>
        <v>1.5573759656992751E-3</v>
      </c>
    </row>
    <row r="11" spans="1:15" ht="24.75" customHeight="1" thickTop="1" thickBot="1" x14ac:dyDescent="0.25">
      <c r="A11" s="138" t="s">
        <v>31</v>
      </c>
      <c r="B11" s="125" t="s">
        <v>32</v>
      </c>
      <c r="C11" s="139" t="s">
        <v>33</v>
      </c>
      <c r="D11" s="125" t="s">
        <v>23</v>
      </c>
      <c r="E11" s="220">
        <v>731845.03</v>
      </c>
      <c r="F11" s="239">
        <v>894362.16</v>
      </c>
      <c r="G11" s="157">
        <v>1680</v>
      </c>
      <c r="H11" s="245">
        <v>1680</v>
      </c>
      <c r="L11" s="163">
        <f>IF(G11&lt;=0,0,E11/G11)</f>
        <v>435.62204166666669</v>
      </c>
      <c r="M11" s="166">
        <f>IF(E11&lt;=0,0,G11/E11)</f>
        <v>2.2955679565112301E-3</v>
      </c>
      <c r="N11" s="163">
        <f>IF(H11&lt;=0,0,F11/H11)</f>
        <v>532.35842857142859</v>
      </c>
      <c r="O11" s="166">
        <f>IF(F11&lt;=0,0,H11/F11)</f>
        <v>1.8784336761295893E-3</v>
      </c>
    </row>
    <row r="12" spans="1:15" ht="22.5" customHeight="1" thickTop="1" thickBot="1" x14ac:dyDescent="0.25">
      <c r="A12" s="291" t="s">
        <v>34</v>
      </c>
      <c r="B12" s="292"/>
      <c r="C12" s="292"/>
      <c r="D12" s="292"/>
      <c r="E12" s="292"/>
      <c r="F12" s="292"/>
      <c r="G12" s="292"/>
      <c r="H12" s="293"/>
      <c r="L12" s="167"/>
      <c r="M12" s="167"/>
      <c r="N12" s="167"/>
      <c r="O12" s="167"/>
    </row>
    <row r="13" spans="1:15" ht="30" customHeight="1" thickTop="1" thickBot="1" x14ac:dyDescent="0.25">
      <c r="A13" s="139" t="s">
        <v>35</v>
      </c>
      <c r="B13" s="160" t="s">
        <v>36</v>
      </c>
      <c r="C13" s="139" t="s">
        <v>37</v>
      </c>
      <c r="D13" s="128" t="s">
        <v>23</v>
      </c>
      <c r="E13" s="219">
        <v>762140.94</v>
      </c>
      <c r="F13" s="240">
        <v>2252067.19</v>
      </c>
      <c r="G13" s="158">
        <v>900</v>
      </c>
      <c r="H13" s="246">
        <v>1080</v>
      </c>
      <c r="L13" s="163">
        <f>IF(G13&lt;=0,0,E13/G13)</f>
        <v>846.82326666666665</v>
      </c>
      <c r="M13" s="166">
        <f>IF(E13&lt;=0,0,G13/E13)</f>
        <v>1.1808839451663627E-3</v>
      </c>
      <c r="N13" s="163">
        <f>IF(H13&lt;=0,0,F13/H13)</f>
        <v>2085.247398148148</v>
      </c>
      <c r="O13" s="166">
        <f>IF(F13&lt;=0,0,H13/F13)</f>
        <v>4.7955940426448821E-4</v>
      </c>
    </row>
    <row r="14" spans="1:15" ht="30" customHeight="1" thickTop="1" thickBot="1" x14ac:dyDescent="0.25">
      <c r="A14" s="162" t="s">
        <v>38</v>
      </c>
      <c r="B14" s="221" t="s">
        <v>39</v>
      </c>
      <c r="C14" s="139" t="s">
        <v>40</v>
      </c>
      <c r="D14" s="125" t="s">
        <v>41</v>
      </c>
      <c r="E14" s="223">
        <v>628647.93999999994</v>
      </c>
      <c r="F14" s="241">
        <v>671487.78</v>
      </c>
      <c r="G14" s="158">
        <v>900</v>
      </c>
      <c r="H14" s="246">
        <v>900</v>
      </c>
      <c r="L14" s="163">
        <f>IF(G14&lt;=0,0,E14/G14)</f>
        <v>698.49771111111102</v>
      </c>
      <c r="M14" s="166">
        <f>IF(E14&lt;=0,0,G14/E14)</f>
        <v>1.4316439182159733E-3</v>
      </c>
      <c r="N14" s="163">
        <f>IF(H14&lt;=0,0,F14/H14)</f>
        <v>746.09753333333333</v>
      </c>
      <c r="O14" s="166">
        <f>IF(F14&lt;=0,0,H14/F14)</f>
        <v>1.340307339621281E-3</v>
      </c>
    </row>
    <row r="15" spans="1:15" ht="22.5" customHeight="1" thickTop="1" thickBot="1" x14ac:dyDescent="0.25">
      <c r="A15" s="291" t="s">
        <v>42</v>
      </c>
      <c r="B15" s="292"/>
      <c r="C15" s="292"/>
      <c r="D15" s="292"/>
      <c r="E15" s="292"/>
      <c r="F15" s="292"/>
      <c r="G15" s="292"/>
      <c r="H15" s="293"/>
      <c r="L15" s="167"/>
      <c r="M15" s="167"/>
      <c r="N15" s="167"/>
      <c r="O15" s="167"/>
    </row>
    <row r="16" spans="1:15" ht="24.75" customHeight="1" thickTop="1" thickBot="1" x14ac:dyDescent="0.25">
      <c r="A16" s="278" t="s">
        <v>43</v>
      </c>
      <c r="B16" s="300" t="s">
        <v>44</v>
      </c>
      <c r="C16" s="139" t="s">
        <v>45</v>
      </c>
      <c r="D16" s="127" t="s">
        <v>46</v>
      </c>
      <c r="E16" s="304">
        <v>5046642.0199999996</v>
      </c>
      <c r="F16" s="307">
        <v>8232964.7999999998</v>
      </c>
      <c r="G16" s="158">
        <v>2175</v>
      </c>
      <c r="H16" s="247">
        <v>2075</v>
      </c>
      <c r="L16" s="168">
        <f>IF(G16&lt;=0,0,$E$16/G16)</f>
        <v>2320.2951816091954</v>
      </c>
      <c r="M16" s="169">
        <f>IF($E$16&lt;=0,0,G16/$E$16)</f>
        <v>4.3097964773019512E-4</v>
      </c>
      <c r="N16" s="168">
        <f>IF(H16&lt;=0,0,$F$16/H16)</f>
        <v>3967.6938795180722</v>
      </c>
      <c r="O16" s="169">
        <f>IF($F$16&lt;0,0,H16/$F$16)</f>
        <v>2.5203557289592689E-4</v>
      </c>
    </row>
    <row r="17" spans="1:15" ht="39.75" customHeight="1" thickTop="1" thickBot="1" x14ac:dyDescent="0.25">
      <c r="A17" s="279"/>
      <c r="B17" s="301"/>
      <c r="C17" s="139" t="s">
        <v>47</v>
      </c>
      <c r="D17" s="127" t="s">
        <v>48</v>
      </c>
      <c r="E17" s="305"/>
      <c r="F17" s="308"/>
      <c r="G17" s="157">
        <v>13740</v>
      </c>
      <c r="H17" s="248">
        <v>53963</v>
      </c>
      <c r="L17" s="168">
        <f>IF(G17&lt;=0,0,$E$16/G17)</f>
        <v>367.29563464337696</v>
      </c>
      <c r="M17" s="169">
        <f>IF($E$16&lt;=0,0,G17/$E$16)</f>
        <v>2.7226024642817842E-3</v>
      </c>
      <c r="N17" s="168">
        <f>IF(H17&lt;=0,0,$F$16/H17)</f>
        <v>152.56684765487464</v>
      </c>
      <c r="O17" s="169">
        <f>IF($F$16&lt;0,0,H17/$F$16)</f>
        <v>6.5545039133411576E-3</v>
      </c>
    </row>
    <row r="18" spans="1:15" ht="24.75" customHeight="1" thickTop="1" thickBot="1" x14ac:dyDescent="0.25">
      <c r="A18" s="279"/>
      <c r="B18" s="301"/>
      <c r="C18" s="139" t="s">
        <v>49</v>
      </c>
      <c r="D18" s="161" t="s">
        <v>50</v>
      </c>
      <c r="E18" s="305"/>
      <c r="F18" s="308"/>
      <c r="G18" s="157">
        <v>4200</v>
      </c>
      <c r="H18" s="248">
        <v>4300</v>
      </c>
      <c r="L18" s="168">
        <f>IF(G18&lt;=0,0,$E$16/G18)</f>
        <v>1201.5814333333333</v>
      </c>
      <c r="M18" s="169">
        <f>IF($E$16&lt;=0,0,G18/$E$16)</f>
        <v>8.3223656113416982E-4</v>
      </c>
      <c r="N18" s="168">
        <f>IF(H18&lt;=0,0,$F$16/H18)</f>
        <v>1914.6429767441859</v>
      </c>
      <c r="O18" s="169">
        <f>IF($F$16&lt;0,0,H18/$F$16)</f>
        <v>5.2229058479637855E-4</v>
      </c>
    </row>
    <row r="19" spans="1:15" ht="27" thickTop="1" thickBot="1" x14ac:dyDescent="0.25">
      <c r="A19" s="280"/>
      <c r="B19" s="302"/>
      <c r="C19" s="139" t="s">
        <v>51</v>
      </c>
      <c r="D19" s="161" t="s">
        <v>52</v>
      </c>
      <c r="E19" s="306"/>
      <c r="F19" s="309"/>
      <c r="G19" s="157">
        <v>0</v>
      </c>
      <c r="H19" s="245">
        <v>120</v>
      </c>
      <c r="L19" s="168">
        <f>IF(G19&lt;=0,0,$E$16/G19)</f>
        <v>0</v>
      </c>
      <c r="M19" s="237">
        <f>IF($E$16&lt;=0,0,G19/$E$16)</f>
        <v>0</v>
      </c>
      <c r="N19" s="168">
        <f>IF(H19&lt;=0,0,$F$16/H19)</f>
        <v>68608.039999999994</v>
      </c>
      <c r="O19" s="169">
        <f>IF($F$16&lt;0,0,H19/$F$16)</f>
        <v>1.4575551203619867E-5</v>
      </c>
    </row>
    <row r="20" spans="1:15" ht="28.5" customHeight="1" thickTop="1" thickBot="1" x14ac:dyDescent="0.25">
      <c r="A20" s="140" t="s">
        <v>53</v>
      </c>
      <c r="B20" s="128" t="s">
        <v>54</v>
      </c>
      <c r="C20" s="139" t="s">
        <v>55</v>
      </c>
      <c r="D20" s="125" t="s">
        <v>56</v>
      </c>
      <c r="E20" s="159">
        <v>1762802.05</v>
      </c>
      <c r="F20" s="242">
        <v>1884417.67</v>
      </c>
      <c r="G20" s="157">
        <v>2070</v>
      </c>
      <c r="H20" s="245">
        <v>2070</v>
      </c>
      <c r="L20" s="163">
        <f>IF(G20&lt;=0,0,E20/G20)</f>
        <v>851.59519323671498</v>
      </c>
      <c r="M20" s="166">
        <f>IF(E20&lt;=0,0,G20/E20)</f>
        <v>1.1742668440849612E-3</v>
      </c>
      <c r="N20" s="163">
        <f>IF(H20&lt;=0,0,F20/H20)</f>
        <v>910.34670048309169</v>
      </c>
      <c r="O20" s="166">
        <f>IF(F20&lt;=0,0,H20/F20)</f>
        <v>1.0984825885229574E-3</v>
      </c>
    </row>
    <row r="21" spans="1:15" ht="24.75" customHeight="1" thickTop="1" thickBot="1" x14ac:dyDescent="0.25">
      <c r="A21" s="140" t="s">
        <v>57</v>
      </c>
      <c r="B21" s="128" t="s">
        <v>58</v>
      </c>
      <c r="C21" s="139" t="s">
        <v>59</v>
      </c>
      <c r="D21" s="125" t="s">
        <v>60</v>
      </c>
      <c r="E21" s="220">
        <v>9785069.4600000009</v>
      </c>
      <c r="F21" s="239">
        <v>9614132.7799999993</v>
      </c>
      <c r="G21" s="157">
        <v>1567507</v>
      </c>
      <c r="H21" s="249">
        <v>1524713</v>
      </c>
      <c r="L21" s="163">
        <f>IF(G21&lt;=0,0,E21/G21)</f>
        <v>6.2424406780958561</v>
      </c>
      <c r="M21" s="166">
        <f>IF(E21&lt;=0,0,G21/E21)</f>
        <v>0.16019375298333344</v>
      </c>
      <c r="N21" s="163">
        <f>IF(H21&lt;=0,0,F21/H21)</f>
        <v>6.3055360451442333</v>
      </c>
      <c r="O21" s="166">
        <f>IF(F21&lt;=0,0,H21/F21)</f>
        <v>0.15859079907569157</v>
      </c>
    </row>
    <row r="22" spans="1:15" ht="22.5" customHeight="1" thickTop="1" thickBot="1" x14ac:dyDescent="0.25">
      <c r="A22" s="291" t="s">
        <v>61</v>
      </c>
      <c r="B22" s="292"/>
      <c r="C22" s="292"/>
      <c r="D22" s="292"/>
      <c r="E22" s="292"/>
      <c r="F22" s="292"/>
      <c r="G22" s="292"/>
      <c r="H22" s="293"/>
      <c r="L22" s="167"/>
      <c r="M22" s="167"/>
      <c r="N22" s="167"/>
      <c r="O22" s="167"/>
    </row>
    <row r="23" spans="1:15" ht="24.75" customHeight="1" thickTop="1" thickBot="1" x14ac:dyDescent="0.25">
      <c r="A23" s="269" t="s">
        <v>62</v>
      </c>
      <c r="B23" s="277" t="s">
        <v>44</v>
      </c>
      <c r="C23" s="140" t="s">
        <v>63</v>
      </c>
      <c r="D23" s="128" t="s">
        <v>64</v>
      </c>
      <c r="E23" s="303">
        <v>5046642.0199999996</v>
      </c>
      <c r="F23" s="299">
        <v>8232964.7999999998</v>
      </c>
      <c r="G23" s="157">
        <v>560</v>
      </c>
      <c r="H23" s="248">
        <v>560</v>
      </c>
      <c r="L23" s="163">
        <f>IF(G23&lt;=0,0,$E$23/G23)</f>
        <v>9011.8607499999998</v>
      </c>
      <c r="M23" s="166">
        <f>IF($E$23&lt;=0,0,G23/$E$23)</f>
        <v>1.1096487481788932E-4</v>
      </c>
      <c r="N23" s="163">
        <f>IF(H23&lt;=0,0,$F$23/H23)</f>
        <v>14701.722857142857</v>
      </c>
      <c r="O23" s="166">
        <f>IF($F$23&lt;=0,0,H23/$F$23)</f>
        <v>6.8019238950226048E-5</v>
      </c>
    </row>
    <row r="24" spans="1:15" ht="30.75" customHeight="1" thickTop="1" thickBot="1" x14ac:dyDescent="0.25">
      <c r="A24" s="269"/>
      <c r="B24" s="277"/>
      <c r="C24" s="140" t="s">
        <v>65</v>
      </c>
      <c r="D24" s="128" t="s">
        <v>66</v>
      </c>
      <c r="E24" s="303"/>
      <c r="F24" s="299"/>
      <c r="G24" s="157">
        <v>180</v>
      </c>
      <c r="H24" s="245">
        <v>180</v>
      </c>
      <c r="L24" s="163">
        <f>IF(G24&lt;=0,0,$E$23/G24)</f>
        <v>28036.90011111111</v>
      </c>
      <c r="M24" s="166">
        <f>IF($E$23&lt;=0,0,G24/$E$23)</f>
        <v>3.5667281191464423E-5</v>
      </c>
      <c r="N24" s="163">
        <f>IF(H24&lt;=0,0,$F$23/H24)</f>
        <v>45738.693333333329</v>
      </c>
      <c r="O24" s="166">
        <f>IF($F$23&lt;=0,0,H24/$F$23)</f>
        <v>2.1863326805429802E-5</v>
      </c>
    </row>
    <row r="25" spans="1:15" ht="24.75" customHeight="1" thickTop="1" thickBot="1" x14ac:dyDescent="0.25">
      <c r="A25" s="269"/>
      <c r="B25" s="277"/>
      <c r="C25" s="140" t="s">
        <v>67</v>
      </c>
      <c r="D25" s="128" t="s">
        <v>68</v>
      </c>
      <c r="E25" s="303"/>
      <c r="F25" s="299"/>
      <c r="G25" s="157">
        <v>180</v>
      </c>
      <c r="H25" s="248">
        <v>190</v>
      </c>
      <c r="L25" s="163">
        <f>IF(G25&lt;=0,0,$E$23/G25)</f>
        <v>28036.90011111111</v>
      </c>
      <c r="M25" s="166">
        <f>IF($E$23&lt;=0,0,G25/$E$23)</f>
        <v>3.5667281191464423E-5</v>
      </c>
      <c r="N25" s="163">
        <f>IF(H25&lt;=0,0,$F$23/H25)</f>
        <v>43331.393684210525</v>
      </c>
      <c r="O25" s="166">
        <f>IF($F$23&lt;=0,0,H25/$F$23)</f>
        <v>2.3077956072398123E-5</v>
      </c>
    </row>
    <row r="26" spans="1:15" ht="24.75" customHeight="1" thickTop="1" thickBot="1" x14ac:dyDescent="0.25">
      <c r="A26" s="310" t="s">
        <v>69</v>
      </c>
      <c r="B26" s="281" t="s">
        <v>70</v>
      </c>
      <c r="C26" s="140" t="s">
        <v>71</v>
      </c>
      <c r="D26" s="127" t="s">
        <v>72</v>
      </c>
      <c r="E26" s="272">
        <v>75700</v>
      </c>
      <c r="F26" s="270">
        <v>299600</v>
      </c>
      <c r="G26" s="157">
        <v>0</v>
      </c>
      <c r="H26" s="245">
        <v>300000</v>
      </c>
      <c r="L26" s="170"/>
      <c r="M26" s="171"/>
      <c r="N26" s="163">
        <f>IF(H26&lt;=0,0,F26/H26)</f>
        <v>0.9986666666666667</v>
      </c>
      <c r="O26" s="166">
        <f>IF(F26&lt;=0,0,H26/F26)</f>
        <v>1.0013351134846462</v>
      </c>
    </row>
    <row r="27" spans="1:15" ht="24.75" customHeight="1" thickTop="1" thickBot="1" x14ac:dyDescent="0.25">
      <c r="A27" s="310"/>
      <c r="B27" s="281"/>
      <c r="C27" s="140" t="s">
        <v>73</v>
      </c>
      <c r="D27" s="127" t="s">
        <v>74</v>
      </c>
      <c r="E27" s="273"/>
      <c r="F27" s="271"/>
      <c r="G27" s="157">
        <v>30000</v>
      </c>
      <c r="H27" s="245">
        <v>0</v>
      </c>
      <c r="L27" s="163">
        <f>IF(G27&lt;=0,0,$E$26/G27)</f>
        <v>2.5233333333333334</v>
      </c>
      <c r="M27" s="166">
        <f>IF($E$26&lt;=0,0,G27/$E$26)</f>
        <v>0.39630118890356669</v>
      </c>
      <c r="N27" s="170"/>
      <c r="O27" s="172"/>
    </row>
    <row r="28" spans="1:15" ht="30.75" customHeight="1" thickTop="1" thickBot="1" x14ac:dyDescent="0.25">
      <c r="A28" s="310"/>
      <c r="B28" s="281"/>
      <c r="C28" s="140" t="s">
        <v>75</v>
      </c>
      <c r="D28" s="126" t="s">
        <v>76</v>
      </c>
      <c r="E28" s="272">
        <v>10630900</v>
      </c>
      <c r="F28" s="270">
        <v>0</v>
      </c>
      <c r="G28" s="157">
        <v>556500</v>
      </c>
      <c r="H28" s="245">
        <v>0</v>
      </c>
      <c r="L28" s="163">
        <f>IF(G28&lt;=0,0,$E$28/G28)</f>
        <v>19.103144654088052</v>
      </c>
      <c r="M28" s="166">
        <f>IF($E$28&lt;=0,0,G28/$E$28)</f>
        <v>5.2347402383617569E-2</v>
      </c>
      <c r="N28" s="172"/>
      <c r="O28" s="172"/>
    </row>
    <row r="29" spans="1:15" ht="30.75" customHeight="1" thickTop="1" thickBot="1" x14ac:dyDescent="0.25">
      <c r="A29" s="310"/>
      <c r="B29" s="281"/>
      <c r="C29" s="140" t="s">
        <v>77</v>
      </c>
      <c r="D29" s="125" t="s">
        <v>78</v>
      </c>
      <c r="E29" s="273"/>
      <c r="F29" s="271"/>
      <c r="G29" s="157">
        <v>90000</v>
      </c>
      <c r="H29" s="245">
        <v>0</v>
      </c>
      <c r="L29" s="163">
        <f>IF(G29&lt;=0,0,$E$28/G29)</f>
        <v>118.12111111111111</v>
      </c>
      <c r="M29" s="166">
        <f>IF($E$28&lt;=0,0,G29/$E$28)</f>
        <v>8.4658871779435419E-3</v>
      </c>
      <c r="N29" s="172"/>
      <c r="O29" s="172"/>
    </row>
    <row r="30" spans="1:15" ht="30" customHeight="1" thickTop="1" thickBot="1" x14ac:dyDescent="0.25">
      <c r="A30" s="140" t="s">
        <v>79</v>
      </c>
      <c r="B30" s="125" t="s">
        <v>80</v>
      </c>
      <c r="C30" s="140" t="s">
        <v>81</v>
      </c>
      <c r="D30" s="125" t="s">
        <v>82</v>
      </c>
      <c r="E30" s="159">
        <v>2261032.2400000002</v>
      </c>
      <c r="F30" s="243">
        <v>1779164.35</v>
      </c>
      <c r="G30" s="157">
        <v>520</v>
      </c>
      <c r="H30" s="245">
        <v>600</v>
      </c>
      <c r="L30" s="163">
        <f>IF(G30&lt;=0,0,E30/G30)</f>
        <v>4348.1389230769237</v>
      </c>
      <c r="M30" s="166">
        <f>IF(E30&lt;=0,0,G30/E30)</f>
        <v>2.2998345215988604E-4</v>
      </c>
      <c r="N30" s="163">
        <f>IF(H30&lt;=0,0,F30/H30)</f>
        <v>2965.273916666667</v>
      </c>
      <c r="O30" s="166">
        <f>IF(F30&lt;=0,0,H30/F30)</f>
        <v>3.3723697307671435E-4</v>
      </c>
    </row>
    <row r="31" spans="1:15" ht="24.95" customHeight="1" thickTop="1" thickBot="1" x14ac:dyDescent="0.25">
      <c r="A31" s="291" t="s">
        <v>83</v>
      </c>
      <c r="B31" s="292"/>
      <c r="C31" s="292"/>
      <c r="D31" s="292"/>
      <c r="E31" s="292"/>
      <c r="F31" s="292"/>
      <c r="G31" s="292"/>
      <c r="H31" s="293"/>
      <c r="L31" s="167"/>
      <c r="M31" s="167"/>
      <c r="N31" s="167"/>
      <c r="O31" s="167"/>
    </row>
    <row r="32" spans="1:15" ht="44.25" customHeight="1" thickTop="1" thickBot="1" x14ac:dyDescent="0.25">
      <c r="A32" s="140" t="s">
        <v>84</v>
      </c>
      <c r="B32" s="128" t="s">
        <v>85</v>
      </c>
      <c r="C32" s="140" t="s">
        <v>86</v>
      </c>
      <c r="D32" s="127" t="s">
        <v>87</v>
      </c>
      <c r="E32" s="220">
        <v>24435035.120000001</v>
      </c>
      <c r="F32" s="244">
        <v>29514717.629999999</v>
      </c>
      <c r="G32" s="157">
        <v>48780</v>
      </c>
      <c r="H32" s="248">
        <v>43400</v>
      </c>
      <c r="L32" s="163">
        <f>IF(G32&lt;=0,0,E32/G32)</f>
        <v>500.92322919229196</v>
      </c>
      <c r="M32" s="166">
        <f>IF(E32&lt;=0,0,G32/E32)</f>
        <v>1.9963138894805075E-3</v>
      </c>
      <c r="N32" s="163">
        <f>IF(H32&lt;=0,0,F32/H32)</f>
        <v>680.06261820276495</v>
      </c>
      <c r="O32" s="166">
        <f>IF(F32&lt;=0,0,H32/F32)</f>
        <v>1.4704528277745207E-3</v>
      </c>
    </row>
    <row r="33" spans="1:15" ht="24.95" customHeight="1" thickTop="1" thickBot="1" x14ac:dyDescent="0.25">
      <c r="A33" s="291" t="s">
        <v>88</v>
      </c>
      <c r="B33" s="292"/>
      <c r="C33" s="292"/>
      <c r="D33" s="292"/>
      <c r="E33" s="292"/>
      <c r="F33" s="292"/>
      <c r="G33" s="292"/>
      <c r="H33" s="293"/>
      <c r="L33" s="134"/>
      <c r="M33" s="134"/>
      <c r="N33" s="134"/>
      <c r="O33" s="134"/>
    </row>
    <row r="34" spans="1:15" ht="9" customHeight="1" thickTop="1" x14ac:dyDescent="0.2">
      <c r="E34" s="133"/>
      <c r="G34" s="133"/>
    </row>
    <row r="35" spans="1:15" ht="15" x14ac:dyDescent="0.2">
      <c r="A35" s="210" t="s">
        <v>89</v>
      </c>
      <c r="G35" s="133"/>
    </row>
    <row r="36" spans="1:15" x14ac:dyDescent="0.2">
      <c r="E36" s="133"/>
      <c r="G36" s="133"/>
    </row>
    <row r="37" spans="1:15" hidden="1" x14ac:dyDescent="0.2">
      <c r="E37" s="133"/>
      <c r="G37" s="133"/>
    </row>
    <row r="38" spans="1:15" hidden="1" x14ac:dyDescent="0.2">
      <c r="E38" s="146"/>
      <c r="F38" s="124"/>
      <c r="G38" s="146"/>
      <c r="H38" s="124"/>
      <c r="L38" s="124"/>
      <c r="M38" s="124"/>
      <c r="N38" s="124"/>
      <c r="O38" s="124"/>
    </row>
    <row r="39" spans="1:15" x14ac:dyDescent="0.2">
      <c r="B39" s="149"/>
      <c r="E39" s="146"/>
      <c r="F39" s="124"/>
      <c r="G39" s="146"/>
      <c r="H39" s="124"/>
      <c r="L39" s="124"/>
      <c r="M39" s="124"/>
      <c r="N39" s="124"/>
      <c r="O39" s="124"/>
    </row>
    <row r="40" spans="1:15" x14ac:dyDescent="0.2">
      <c r="E40" s="146"/>
      <c r="F40" s="124"/>
      <c r="G40" s="146"/>
      <c r="H40" s="124"/>
      <c r="L40" s="124"/>
      <c r="M40" s="124"/>
      <c r="N40" s="124"/>
      <c r="O40" s="124"/>
    </row>
    <row r="41" spans="1:15" ht="15.75" customHeight="1" x14ac:dyDescent="0.2">
      <c r="A41" s="314" t="s">
        <v>90</v>
      </c>
      <c r="B41" s="314"/>
      <c r="C41" s="314"/>
      <c r="D41" s="311" t="s">
        <v>91</v>
      </c>
      <c r="E41" s="311"/>
      <c r="F41" s="311"/>
      <c r="G41" s="311"/>
      <c r="H41" s="311"/>
      <c r="L41" s="124"/>
      <c r="M41" s="124"/>
      <c r="N41" s="124"/>
      <c r="O41" s="124"/>
    </row>
    <row r="42" spans="1:15" ht="30.75" customHeight="1" x14ac:dyDescent="0.2">
      <c r="A42" s="298" t="s">
        <v>92</v>
      </c>
      <c r="B42" s="298"/>
      <c r="C42" s="298"/>
      <c r="D42" s="312" t="s">
        <v>93</v>
      </c>
      <c r="E42" s="312"/>
      <c r="F42" s="312"/>
      <c r="G42" s="312"/>
      <c r="H42" s="312"/>
    </row>
    <row r="43" spans="1:15" ht="18.75" x14ac:dyDescent="0.3">
      <c r="A43" s="151"/>
      <c r="B43" s="224"/>
      <c r="C43" s="224"/>
      <c r="D43" s="224"/>
      <c r="E43" s="153"/>
      <c r="F43" s="154"/>
      <c r="G43" s="152"/>
      <c r="H43" s="155"/>
    </row>
    <row r="44" spans="1:15" ht="18.75" hidden="1" x14ac:dyDescent="0.3">
      <c r="A44" s="151"/>
      <c r="B44" s="152"/>
      <c r="C44" s="152"/>
      <c r="D44" s="153"/>
      <c r="E44" s="153"/>
      <c r="F44" s="154"/>
      <c r="G44" s="152"/>
      <c r="H44" s="155"/>
    </row>
    <row r="45" spans="1:15" ht="18.75" hidden="1" x14ac:dyDescent="0.3">
      <c r="A45" s="150"/>
      <c r="B45" s="152"/>
      <c r="C45" s="152"/>
      <c r="D45" s="153"/>
      <c r="E45" s="153"/>
      <c r="F45" s="154"/>
      <c r="G45" s="152"/>
      <c r="H45" s="155"/>
    </row>
    <row r="46" spans="1:15" ht="18.75" hidden="1" x14ac:dyDescent="0.3">
      <c r="A46" s="150"/>
      <c r="B46" s="152"/>
      <c r="C46" s="152"/>
      <c r="D46" s="153"/>
      <c r="E46" s="153"/>
      <c r="F46" s="154"/>
      <c r="G46" s="152"/>
      <c r="H46" s="155"/>
    </row>
    <row r="47" spans="1:15" ht="18.75" x14ac:dyDescent="0.3">
      <c r="A47" s="150"/>
      <c r="B47" s="152"/>
      <c r="C47" s="152"/>
      <c r="D47" s="153"/>
      <c r="E47" s="153"/>
      <c r="F47" s="154"/>
      <c r="G47" s="152"/>
      <c r="H47" s="155"/>
    </row>
    <row r="48" spans="1:15" ht="20.25" customHeight="1" x14ac:dyDescent="0.2">
      <c r="A48" s="315" t="s">
        <v>94</v>
      </c>
      <c r="B48" s="315"/>
      <c r="C48" s="315"/>
      <c r="D48" s="313" t="s">
        <v>95</v>
      </c>
      <c r="E48" s="313"/>
      <c r="F48" s="313"/>
      <c r="G48" s="313"/>
      <c r="H48" s="313"/>
    </row>
    <row r="49" spans="1:8" s="124" customFormat="1" ht="15" customHeight="1" x14ac:dyDescent="0.2">
      <c r="A49" s="298" t="s">
        <v>96</v>
      </c>
      <c r="B49" s="298"/>
      <c r="C49" s="298"/>
      <c r="D49" s="312" t="s">
        <v>97</v>
      </c>
      <c r="E49" s="312"/>
      <c r="F49" s="312"/>
      <c r="G49" s="312"/>
      <c r="H49" s="312"/>
    </row>
    <row r="50" spans="1:8" s="124" customFormat="1" ht="18.75" customHeight="1" x14ac:dyDescent="0.2">
      <c r="B50" s="253"/>
      <c r="C50" s="253"/>
      <c r="D50" s="253"/>
      <c r="E50" s="254"/>
      <c r="F50" s="254"/>
      <c r="G50" s="254"/>
      <c r="H50" s="254"/>
    </row>
  </sheetData>
  <sheetProtection formatCells="0" formatColumns="0"/>
  <mergeCells count="46">
    <mergeCell ref="A49:C49"/>
    <mergeCell ref="D41:H41"/>
    <mergeCell ref="D42:H42"/>
    <mergeCell ref="D48:H48"/>
    <mergeCell ref="D49:H49"/>
    <mergeCell ref="A41:C41"/>
    <mergeCell ref="A48:C48"/>
    <mergeCell ref="A42:C42"/>
    <mergeCell ref="F23:F25"/>
    <mergeCell ref="B16:B19"/>
    <mergeCell ref="E23:E25"/>
    <mergeCell ref="E28:E29"/>
    <mergeCell ref="B26:B29"/>
    <mergeCell ref="A33:H33"/>
    <mergeCell ref="A31:H31"/>
    <mergeCell ref="F28:F29"/>
    <mergeCell ref="E16:E19"/>
    <mergeCell ref="F16:F19"/>
    <mergeCell ref="A26:A29"/>
    <mergeCell ref="N2:O2"/>
    <mergeCell ref="A1:H1"/>
    <mergeCell ref="L2:M2"/>
    <mergeCell ref="A2:A3"/>
    <mergeCell ref="L1:M1"/>
    <mergeCell ref="N1:O1"/>
    <mergeCell ref="E2:F2"/>
    <mergeCell ref="G2:H2"/>
    <mergeCell ref="B2:B3"/>
    <mergeCell ref="C2:C3"/>
    <mergeCell ref="D2:D3"/>
    <mergeCell ref="A23:A25"/>
    <mergeCell ref="F26:F27"/>
    <mergeCell ref="E26:E27"/>
    <mergeCell ref="E4:E7"/>
    <mergeCell ref="E8:E9"/>
    <mergeCell ref="B23:B25"/>
    <mergeCell ref="A16:A19"/>
    <mergeCell ref="B4:B7"/>
    <mergeCell ref="F4:F7"/>
    <mergeCell ref="A4:A7"/>
    <mergeCell ref="A12:H12"/>
    <mergeCell ref="A8:A9"/>
    <mergeCell ref="A15:H15"/>
    <mergeCell ref="A22:H22"/>
    <mergeCell ref="B8:B9"/>
    <mergeCell ref="F8:F9"/>
  </mergeCells>
  <conditionalFormatting sqref="L4:O32">
    <cfRule type="cellIs" dxfId="22" priority="1" stopIfTrue="1" operator="equal">
      <formula>0</formula>
    </cfRule>
  </conditionalFormatting>
  <printOptions horizontalCentered="1"/>
  <pageMargins left="0.35433070866141736" right="0.15748031496062992" top="0.98425196850393704" bottom="0.6692913385826772" header="0.31496062992125984" footer="0.31496062992125984"/>
  <pageSetup paperSize="9" scale="85" fitToHeight="0" orientation="landscape" r:id="rId1"/>
  <headerFooter>
    <oddHeader>&amp;L&amp;G&amp;CORGANIZAÇÃO DAS VOLUNTÁRIAS DE GOIÁS
DIRETORIA GERAL
GERÊNCIA ESTRATÉGICA DE PLANEJAMENTO E GOVERNANÇA       
INDICADOR DE DESEMPENHO 2021/1</oddHeader>
  </headerFooter>
  <rowBreaks count="1" manualBreakCount="1">
    <brk id="22" max="1638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46"/>
  <sheetViews>
    <sheetView topLeftCell="A34" zoomScaleNormal="100" zoomScaleSheetLayoutView="90" workbookViewId="0">
      <selection activeCell="D48" sqref="D48"/>
    </sheetView>
  </sheetViews>
  <sheetFormatPr defaultColWidth="8.85546875" defaultRowHeight="15" x14ac:dyDescent="0.25"/>
  <cols>
    <col min="1" max="1" width="12.7109375" style="143" customWidth="1"/>
    <col min="2" max="2" width="54.140625" style="132" customWidth="1"/>
    <col min="3" max="3" width="11" style="136" customWidth="1"/>
    <col min="4" max="4" width="38.42578125" style="132" bestFit="1" customWidth="1"/>
    <col min="5" max="5" width="16" style="147" hidden="1" customWidth="1"/>
    <col min="6" max="6" width="13.42578125" style="147" hidden="1" customWidth="1"/>
    <col min="7" max="7" width="16" style="147" hidden="1" customWidth="1"/>
    <col min="8" max="8" width="16" style="133" customWidth="1"/>
    <col min="9" max="9" width="13.42578125" style="133" customWidth="1"/>
    <col min="10" max="10" width="13.7109375" style="132" customWidth="1"/>
    <col min="11" max="11" width="4.7109375" customWidth="1"/>
    <col min="12" max="13" width="5.85546875" style="124" hidden="1" customWidth="1"/>
    <col min="14" max="14" width="3.28515625" style="124" customWidth="1"/>
    <col min="15" max="15" width="10.5703125" style="132" hidden="1" customWidth="1"/>
    <col min="16" max="16" width="10.28515625" style="133" hidden="1" customWidth="1"/>
    <col min="17" max="17" width="10.140625" style="133" customWidth="1"/>
    <col min="18" max="18" width="9.28515625" style="133" customWidth="1"/>
    <col min="19" max="20" width="8.85546875" style="124"/>
    <col min="21" max="21" width="14.85546875" style="124" bestFit="1" customWidth="1"/>
    <col min="22" max="16384" width="8.85546875" style="124"/>
  </cols>
  <sheetData>
    <row r="1" spans="1:27" ht="32.25" customHeight="1" thickTop="1" thickBot="1" x14ac:dyDescent="0.3">
      <c r="A1" s="316" t="s">
        <v>98</v>
      </c>
      <c r="B1" s="320"/>
      <c r="C1" s="320"/>
      <c r="D1" s="320"/>
      <c r="E1" s="320"/>
      <c r="F1" s="320"/>
      <c r="G1" s="320"/>
      <c r="H1" s="320"/>
      <c r="I1" s="320"/>
      <c r="J1" s="317"/>
      <c r="O1" s="316" t="s">
        <v>1</v>
      </c>
      <c r="P1" s="317"/>
      <c r="Q1" s="316" t="s">
        <v>1</v>
      </c>
      <c r="R1" s="317"/>
    </row>
    <row r="2" spans="1:27" ht="21.95" customHeight="1" thickTop="1" thickBot="1" x14ac:dyDescent="0.3">
      <c r="A2" s="318" t="s">
        <v>2</v>
      </c>
      <c r="B2" s="318" t="s">
        <v>3</v>
      </c>
      <c r="C2" s="318" t="s">
        <v>4</v>
      </c>
      <c r="D2" s="318" t="s">
        <v>5</v>
      </c>
      <c r="E2" s="321" t="s">
        <v>99</v>
      </c>
      <c r="F2" s="322"/>
      <c r="G2" s="322"/>
      <c r="H2" s="323" t="s">
        <v>100</v>
      </c>
      <c r="I2" s="324"/>
      <c r="J2" s="325"/>
      <c r="O2" s="282" t="s">
        <v>99</v>
      </c>
      <c r="P2" s="282"/>
      <c r="Q2" s="282" t="s">
        <v>100</v>
      </c>
      <c r="R2" s="282"/>
    </row>
    <row r="3" spans="1:27" ht="21.95" customHeight="1" thickTop="1" thickBot="1" x14ac:dyDescent="0.3">
      <c r="A3" s="319"/>
      <c r="B3" s="319"/>
      <c r="C3" s="319"/>
      <c r="D3" s="319"/>
      <c r="E3" s="148" t="s">
        <v>101</v>
      </c>
      <c r="F3" s="148" t="s">
        <v>102</v>
      </c>
      <c r="G3" s="148" t="s">
        <v>103</v>
      </c>
      <c r="H3" s="137" t="s">
        <v>101</v>
      </c>
      <c r="I3" s="137" t="s">
        <v>102</v>
      </c>
      <c r="J3" s="137" t="s">
        <v>103</v>
      </c>
      <c r="L3"/>
      <c r="M3"/>
      <c r="O3" s="137" t="s">
        <v>104</v>
      </c>
      <c r="P3" s="137" t="s">
        <v>105</v>
      </c>
      <c r="Q3" s="137" t="s">
        <v>104</v>
      </c>
      <c r="R3" s="137" t="s">
        <v>105</v>
      </c>
      <c r="T3"/>
      <c r="U3"/>
      <c r="V3"/>
      <c r="W3"/>
      <c r="X3"/>
      <c r="Y3"/>
      <c r="Z3"/>
      <c r="AA3"/>
    </row>
    <row r="4" spans="1:27" ht="24.95" customHeight="1" thickTop="1" thickBot="1" x14ac:dyDescent="0.3">
      <c r="A4" s="288" t="s">
        <v>14</v>
      </c>
      <c r="B4" s="281" t="s">
        <v>15</v>
      </c>
      <c r="C4" s="139" t="s">
        <v>16</v>
      </c>
      <c r="D4" s="125" t="s">
        <v>17</v>
      </c>
      <c r="E4" s="274">
        <v>3657802.07</v>
      </c>
      <c r="F4" s="266">
        <v>355</v>
      </c>
      <c r="G4" s="266">
        <v>95.45</v>
      </c>
      <c r="H4" s="329">
        <v>3626205.71</v>
      </c>
      <c r="I4" s="248">
        <v>326</v>
      </c>
      <c r="J4" s="251">
        <v>96</v>
      </c>
      <c r="L4"/>
      <c r="M4"/>
      <c r="O4" s="131">
        <f>IF(F4&lt;=0,0,$E$4/F4)</f>
        <v>10303.667802816901</v>
      </c>
      <c r="P4" s="164">
        <f>IF($E$4&lt;=0,0,F4/$E$4)</f>
        <v>9.7052818388284202E-5</v>
      </c>
      <c r="Q4" s="129">
        <f>IF(I4&lt;=0,0,$H$4/I4)</f>
        <v>11123.330398773007</v>
      </c>
      <c r="R4" s="166">
        <f>IF($H$4&lt;=0,0,I4/$H$4)</f>
        <v>8.9901132498078825E-5</v>
      </c>
      <c r="T4"/>
      <c r="U4"/>
      <c r="V4"/>
      <c r="W4"/>
      <c r="X4"/>
      <c r="Y4"/>
      <c r="Z4"/>
      <c r="AA4"/>
    </row>
    <row r="5" spans="1:27" ht="24.95" customHeight="1" thickTop="1" thickBot="1" x14ac:dyDescent="0.3">
      <c r="A5" s="289"/>
      <c r="B5" s="281"/>
      <c r="C5" s="139" t="s">
        <v>18</v>
      </c>
      <c r="D5" s="125" t="s">
        <v>19</v>
      </c>
      <c r="E5" s="274"/>
      <c r="F5" s="266">
        <v>155</v>
      </c>
      <c r="G5" s="266">
        <v>91.67</v>
      </c>
      <c r="H5" s="330"/>
      <c r="I5" s="248">
        <v>155</v>
      </c>
      <c r="J5" s="251">
        <v>87.5</v>
      </c>
      <c r="L5"/>
      <c r="M5"/>
      <c r="O5" s="131">
        <f>IF(F5&lt;=0,0,$E$4/F5)</f>
        <v>23598.723032258062</v>
      </c>
      <c r="P5" s="164">
        <f>IF($E$4&lt;=0,0,F5/$E$4)</f>
        <v>4.2375174225870567E-5</v>
      </c>
      <c r="Q5" s="129">
        <f>IF(I5&lt;=0,0,$H$4/I5)</f>
        <v>23394.875548387095</v>
      </c>
      <c r="R5" s="166">
        <f>IF($H$4&lt;=0,0,I5/$H$4)</f>
        <v>4.2744403488350359E-5</v>
      </c>
      <c r="T5"/>
      <c r="U5"/>
      <c r="V5"/>
      <c r="W5"/>
      <c r="X5"/>
      <c r="Y5"/>
      <c r="Z5"/>
      <c r="AA5"/>
    </row>
    <row r="6" spans="1:27" ht="32.1" customHeight="1" thickTop="1" thickBot="1" x14ac:dyDescent="0.3">
      <c r="A6" s="289"/>
      <c r="B6" s="281"/>
      <c r="C6" s="139" t="s">
        <v>20</v>
      </c>
      <c r="D6" s="125" t="s">
        <v>21</v>
      </c>
      <c r="E6" s="274"/>
      <c r="F6" s="266">
        <v>66</v>
      </c>
      <c r="G6" s="266">
        <v>0</v>
      </c>
      <c r="H6" s="330"/>
      <c r="I6" s="248">
        <v>59</v>
      </c>
      <c r="J6" s="248">
        <v>0</v>
      </c>
      <c r="K6" s="209" t="s">
        <v>106</v>
      </c>
      <c r="L6"/>
      <c r="M6"/>
      <c r="O6" s="131">
        <f>IF(F6&lt;=0,0,$E$4/F6)</f>
        <v>55421.243484848485</v>
      </c>
      <c r="P6" s="164">
        <f>IF($E$4&lt;=0,0,F6/$E$4)</f>
        <v>1.80436225735965E-5</v>
      </c>
      <c r="Q6" s="129">
        <f>IF(I6&lt;=0,0,$H$4/I6)</f>
        <v>61461.113728813558</v>
      </c>
      <c r="R6" s="166">
        <f>IF($H$4&lt;=0,0,I6/$H$4)</f>
        <v>1.6270450360081752E-5</v>
      </c>
      <c r="T6"/>
      <c r="U6"/>
      <c r="V6"/>
      <c r="W6"/>
      <c r="X6"/>
      <c r="Y6"/>
      <c r="Z6"/>
      <c r="AA6"/>
    </row>
    <row r="7" spans="1:27" ht="24.95" customHeight="1" thickTop="1" thickBot="1" x14ac:dyDescent="0.3">
      <c r="A7" s="290"/>
      <c r="B7" s="281"/>
      <c r="C7" s="139" t="s">
        <v>22</v>
      </c>
      <c r="D7" s="126" t="s">
        <v>23</v>
      </c>
      <c r="E7" s="274"/>
      <c r="F7" s="266">
        <v>918</v>
      </c>
      <c r="G7" s="266">
        <v>0</v>
      </c>
      <c r="H7" s="331"/>
      <c r="I7" s="248">
        <v>615</v>
      </c>
      <c r="J7" s="248">
        <v>0</v>
      </c>
      <c r="K7" s="209" t="s">
        <v>106</v>
      </c>
      <c r="L7"/>
      <c r="M7"/>
      <c r="O7" s="131">
        <f>IF(F7&lt;=0,0,$E$4/F7)</f>
        <v>3984.5338453159038</v>
      </c>
      <c r="P7" s="164">
        <f>IF($E$4&lt;=0,0,F7/$E$4)</f>
        <v>2.5097038670547856E-4</v>
      </c>
      <c r="Q7" s="129">
        <f>IF(I7&lt;=0,0,$H$4/I7)</f>
        <v>5896.2694471544719</v>
      </c>
      <c r="R7" s="166">
        <f>IF($H$4&lt;=0,0,I7/$H$4)</f>
        <v>1.6959876222797079E-4</v>
      </c>
    </row>
    <row r="8" spans="1:27" ht="24.95" customHeight="1" thickTop="1" thickBot="1" x14ac:dyDescent="0.3">
      <c r="A8" s="294" t="s">
        <v>24</v>
      </c>
      <c r="B8" s="296" t="s">
        <v>25</v>
      </c>
      <c r="C8" s="139" t="s">
        <v>26</v>
      </c>
      <c r="D8" s="125" t="s">
        <v>19</v>
      </c>
      <c r="E8" s="328">
        <v>1307043.92</v>
      </c>
      <c r="F8" s="266">
        <v>160</v>
      </c>
      <c r="G8" s="266">
        <v>100</v>
      </c>
      <c r="H8" s="326">
        <v>1542091.69</v>
      </c>
      <c r="I8" s="248">
        <v>147</v>
      </c>
      <c r="J8" s="248">
        <v>100</v>
      </c>
      <c r="K8" s="209"/>
      <c r="M8"/>
      <c r="O8" s="131">
        <f>IF(F8&lt;=0,0,$E$8/F8)</f>
        <v>8169.0244999999995</v>
      </c>
      <c r="P8" s="166">
        <f>IF($E$8&lt;=0,0,F8/$E$8)</f>
        <v>1.2241363702606109E-4</v>
      </c>
      <c r="Q8" s="129">
        <f>IF(I8&lt;=0,0,$H$8/I8)</f>
        <v>10490.419659863945</v>
      </c>
      <c r="R8" s="166">
        <f>IF(I8&lt;=0,0,I8/H8)</f>
        <v>9.5325071105207767E-5</v>
      </c>
    </row>
    <row r="9" spans="1:27" ht="24.95" customHeight="1" thickTop="1" thickBot="1" x14ac:dyDescent="0.3">
      <c r="A9" s="295"/>
      <c r="B9" s="296"/>
      <c r="C9" s="139" t="s">
        <v>27</v>
      </c>
      <c r="D9" s="125" t="s">
        <v>23</v>
      </c>
      <c r="E9" s="328"/>
      <c r="F9" s="266">
        <v>1372</v>
      </c>
      <c r="G9" s="266">
        <v>0</v>
      </c>
      <c r="H9" s="327"/>
      <c r="I9" s="248">
        <v>1463</v>
      </c>
      <c r="J9" s="248">
        <v>0</v>
      </c>
      <c r="K9" s="209" t="s">
        <v>106</v>
      </c>
      <c r="M9"/>
      <c r="O9" s="131">
        <f>IF(F9&lt;=0,0,$E$8/F9)</f>
        <v>952.65591836734689</v>
      </c>
      <c r="P9" s="166">
        <f>IF($E$8&lt;=0,0,F9/$E$8)</f>
        <v>1.0496969374984737E-3</v>
      </c>
      <c r="Q9" s="129">
        <f>IF(I9&lt;=0,0,$H$8/I9)</f>
        <v>1054.0613055365686</v>
      </c>
      <c r="R9" s="166">
        <f>IF(I8&lt;=0,0,I9/H8)</f>
        <v>9.4871142195182968E-4</v>
      </c>
    </row>
    <row r="10" spans="1:27" ht="30" customHeight="1" thickTop="1" thickBot="1" x14ac:dyDescent="0.3">
      <c r="A10" s="138" t="s">
        <v>28</v>
      </c>
      <c r="B10" s="125" t="s">
        <v>29</v>
      </c>
      <c r="C10" s="139" t="s">
        <v>30</v>
      </c>
      <c r="D10" s="125" t="s">
        <v>23</v>
      </c>
      <c r="E10" s="159">
        <v>492604.94</v>
      </c>
      <c r="F10" s="266">
        <v>1610</v>
      </c>
      <c r="G10" s="266">
        <v>0</v>
      </c>
      <c r="H10" s="250">
        <v>712447.25</v>
      </c>
      <c r="I10" s="248">
        <v>1676</v>
      </c>
      <c r="J10" s="248">
        <v>0</v>
      </c>
      <c r="K10" s="209" t="s">
        <v>106</v>
      </c>
      <c r="M10"/>
      <c r="O10" s="131">
        <f>IF(F10&lt;=0,0,E10/F10)</f>
        <v>305.96580124223601</v>
      </c>
      <c r="P10" s="166">
        <f>IF(H10&lt;=0,0,F10/E10)</f>
        <v>3.2683391279023713E-3</v>
      </c>
      <c r="Q10" s="129">
        <f>IF(I10&lt;=0,0,H10/I10)</f>
        <v>425.08785799522673</v>
      </c>
      <c r="R10" s="166">
        <f>IF(I10&lt;=0,0,I10/H10)</f>
        <v>2.3524548659567429E-3</v>
      </c>
    </row>
    <row r="11" spans="1:27" ht="30" customHeight="1" thickTop="1" thickBot="1" x14ac:dyDescent="0.25">
      <c r="A11" s="138" t="s">
        <v>31</v>
      </c>
      <c r="B11" s="125" t="s">
        <v>32</v>
      </c>
      <c r="C11" s="139" t="s">
        <v>33</v>
      </c>
      <c r="D11" s="125" t="s">
        <v>23</v>
      </c>
      <c r="E11" s="159">
        <v>352374.12</v>
      </c>
      <c r="F11" s="266">
        <v>897</v>
      </c>
      <c r="G11" s="266">
        <v>0</v>
      </c>
      <c r="H11" s="250">
        <v>392230.63</v>
      </c>
      <c r="I11" s="248">
        <v>1816</v>
      </c>
      <c r="J11" s="248">
        <v>0</v>
      </c>
      <c r="K11" s="209" t="s">
        <v>106</v>
      </c>
      <c r="O11" s="131">
        <f>IF(F11&lt;=0,0,E11/F11)</f>
        <v>392.836254180602</v>
      </c>
      <c r="P11" s="166">
        <f>IF(H11&lt;=0,0,F11/E11)</f>
        <v>2.5455898974646608E-3</v>
      </c>
      <c r="Q11" s="129">
        <f>IF(I11&lt;=0,0,H11/I11)</f>
        <v>215.98602973568282</v>
      </c>
      <c r="R11" s="166">
        <f>IF(I11&lt;=0,0,I11/H11)</f>
        <v>4.629929080245467E-3</v>
      </c>
    </row>
    <row r="12" spans="1:27" ht="24.95" customHeight="1" thickTop="1" thickBot="1" x14ac:dyDescent="0.25">
      <c r="A12" s="291" t="s">
        <v>34</v>
      </c>
      <c r="B12" s="292"/>
      <c r="C12" s="292"/>
      <c r="D12" s="292"/>
      <c r="E12" s="292"/>
      <c r="F12" s="292"/>
      <c r="G12" s="293"/>
      <c r="H12" s="156"/>
      <c r="I12" s="156"/>
      <c r="J12" s="156"/>
      <c r="K12" s="209"/>
      <c r="O12" s="134"/>
      <c r="P12" s="167"/>
      <c r="Q12" s="165"/>
      <c r="R12" s="167"/>
    </row>
    <row r="13" spans="1:27" ht="30" customHeight="1" thickTop="1" thickBot="1" x14ac:dyDescent="0.25">
      <c r="A13" s="139" t="s">
        <v>35</v>
      </c>
      <c r="B13" s="160" t="s">
        <v>36</v>
      </c>
      <c r="C13" s="139" t="s">
        <v>37</v>
      </c>
      <c r="D13" s="128" t="s">
        <v>23</v>
      </c>
      <c r="E13" s="159">
        <v>351382.86</v>
      </c>
      <c r="F13" s="266">
        <v>1101</v>
      </c>
      <c r="G13" s="266">
        <v>0</v>
      </c>
      <c r="H13" s="259">
        <v>401185.31</v>
      </c>
      <c r="I13" s="247">
        <v>923</v>
      </c>
      <c r="J13" s="248">
        <v>0</v>
      </c>
      <c r="K13" s="209" t="s">
        <v>106</v>
      </c>
      <c r="O13" s="131">
        <f>IF(F13&lt;=0,0,E13/F13)</f>
        <v>319.14882833787465</v>
      </c>
      <c r="P13" s="166">
        <f>IF(H13&lt;=0,0,F13/E13)</f>
        <v>3.1333343920076241E-3</v>
      </c>
      <c r="Q13" s="129">
        <f>IF(I13&lt;=0,0,H13/I13)</f>
        <v>434.6536403033586</v>
      </c>
      <c r="R13" s="166">
        <f>IF(I13&lt;=0,0,I13/H13)</f>
        <v>2.3006824452271196E-3</v>
      </c>
      <c r="U13" s="226"/>
    </row>
    <row r="14" spans="1:27" ht="32.1" customHeight="1" thickTop="1" thickBot="1" x14ac:dyDescent="0.25">
      <c r="A14" s="162" t="s">
        <v>38</v>
      </c>
      <c r="B14" s="160" t="s">
        <v>39</v>
      </c>
      <c r="C14" s="139" t="s">
        <v>40</v>
      </c>
      <c r="D14" s="125" t="s">
        <v>41</v>
      </c>
      <c r="E14" s="227">
        <v>320136.38</v>
      </c>
      <c r="F14" s="266">
        <v>534</v>
      </c>
      <c r="G14" s="266">
        <v>0</v>
      </c>
      <c r="H14" s="260">
        <v>326476.36</v>
      </c>
      <c r="I14" s="247">
        <v>545</v>
      </c>
      <c r="J14" s="248">
        <v>0</v>
      </c>
      <c r="K14" s="209" t="s">
        <v>106</v>
      </c>
      <c r="O14" s="131">
        <f>IF(F14&lt;=0,0,E14/F14)</f>
        <v>599.50632958801498</v>
      </c>
      <c r="P14" s="166">
        <f>IF(H14&lt;=0,0,F14/E14)</f>
        <v>1.6680391025849671E-3</v>
      </c>
      <c r="Q14" s="129">
        <f>IF(I14&lt;=0,0,H14/I14)</f>
        <v>599.03919266055038</v>
      </c>
      <c r="R14" s="166">
        <f>IF(I14&lt;=0,0,I14/H14)</f>
        <v>1.6693398566438318E-3</v>
      </c>
      <c r="U14" s="226"/>
    </row>
    <row r="15" spans="1:27" ht="24.95" customHeight="1" thickTop="1" thickBot="1" x14ac:dyDescent="0.25">
      <c r="A15" s="291" t="s">
        <v>42</v>
      </c>
      <c r="B15" s="292"/>
      <c r="C15" s="292"/>
      <c r="D15" s="292"/>
      <c r="E15" s="292"/>
      <c r="F15" s="292"/>
      <c r="G15" s="293"/>
      <c r="H15" s="156"/>
      <c r="I15" s="156"/>
      <c r="J15" s="156"/>
      <c r="K15" s="209"/>
      <c r="O15" s="134"/>
      <c r="P15" s="167"/>
      <c r="Q15" s="165"/>
      <c r="R15" s="167"/>
    </row>
    <row r="16" spans="1:27" ht="24.95" customHeight="1" thickTop="1" thickBot="1" x14ac:dyDescent="0.25">
      <c r="A16" s="278" t="s">
        <v>43</v>
      </c>
      <c r="B16" s="300" t="s">
        <v>44</v>
      </c>
      <c r="C16" s="139" t="s">
        <v>45</v>
      </c>
      <c r="D16" s="127" t="s">
        <v>46</v>
      </c>
      <c r="E16" s="338">
        <v>4655858.51</v>
      </c>
      <c r="F16" s="266">
        <v>2274</v>
      </c>
      <c r="G16" s="266">
        <v>95.95</v>
      </c>
      <c r="H16" s="335">
        <v>7194151.0099999998</v>
      </c>
      <c r="I16" s="247">
        <v>2302</v>
      </c>
      <c r="J16" s="248">
        <v>99.19</v>
      </c>
      <c r="K16" s="209"/>
      <c r="O16" s="131">
        <f>IF(F16&lt;=0,0,$E$16/F16)</f>
        <v>2047.4311829375549</v>
      </c>
      <c r="P16" s="169">
        <f>IF($E$16&lt;=0,0,F16/$E$16)</f>
        <v>4.8841690423277067E-4</v>
      </c>
      <c r="Q16" s="130">
        <f>IF(I16&lt;=0,0,$H$16/I16)</f>
        <v>3125.1742006950476</v>
      </c>
      <c r="R16" s="169">
        <f>IF($H$16&lt;0,0,I16/$H$16)</f>
        <v>3.1998216284314556E-4</v>
      </c>
    </row>
    <row r="17" spans="1:21" ht="39.75" thickTop="1" thickBot="1" x14ac:dyDescent="0.25">
      <c r="A17" s="279"/>
      <c r="B17" s="301"/>
      <c r="C17" s="139" t="s">
        <v>47</v>
      </c>
      <c r="D17" s="127" t="s">
        <v>48</v>
      </c>
      <c r="E17" s="339"/>
      <c r="F17" s="266">
        <v>35423</v>
      </c>
      <c r="G17" s="266">
        <v>99.18</v>
      </c>
      <c r="H17" s="336"/>
      <c r="I17" s="248">
        <v>56729</v>
      </c>
      <c r="J17" s="248">
        <v>97.74</v>
      </c>
      <c r="K17" s="209"/>
      <c r="O17" s="131">
        <f>IF(F17&lt;=0,0,$E$16/F17)</f>
        <v>131.43603054512604</v>
      </c>
      <c r="P17" s="169">
        <f>IF($E$16&lt;=0,0,F17/$E$16)</f>
        <v>7.6082638516435505E-3</v>
      </c>
      <c r="Q17" s="130">
        <f>IF(I17&lt;=0,0,$H$16/I17)</f>
        <v>126.81610833964992</v>
      </c>
      <c r="R17" s="169">
        <f>IF($H$16&lt;0,0,I17/$H$16)</f>
        <v>7.8854335864156407E-3</v>
      </c>
    </row>
    <row r="18" spans="1:21" ht="24.95" customHeight="1" thickTop="1" thickBot="1" x14ac:dyDescent="0.25">
      <c r="A18" s="279"/>
      <c r="B18" s="301"/>
      <c r="C18" s="139" t="s">
        <v>49</v>
      </c>
      <c r="D18" s="161" t="s">
        <v>50</v>
      </c>
      <c r="E18" s="339"/>
      <c r="F18" s="266">
        <v>4438</v>
      </c>
      <c r="G18" s="266">
        <v>98.29</v>
      </c>
      <c r="H18" s="336"/>
      <c r="I18" s="248">
        <v>4383</v>
      </c>
      <c r="J18" s="248">
        <v>98.13</v>
      </c>
      <c r="K18" s="209"/>
      <c r="O18" s="131">
        <f>IF(F18&lt;=0,0,$E$16/F18)</f>
        <v>1049.0893442992337</v>
      </c>
      <c r="P18" s="169">
        <f>IF($E$16&lt;=0,0,F18/$E$16)</f>
        <v>9.5320766094328759E-4</v>
      </c>
      <c r="Q18" s="130">
        <f>IF(I18&lt;=0,0,$H$16/I18)</f>
        <v>1641.3760004563085</v>
      </c>
      <c r="R18" s="169">
        <f>IF($H$16&lt;0,0,I18/$H$16)</f>
        <v>6.0924492603888229E-4</v>
      </c>
    </row>
    <row r="19" spans="1:21" ht="28.5" customHeight="1" thickTop="1" thickBot="1" x14ac:dyDescent="0.25">
      <c r="A19" s="280"/>
      <c r="B19" s="302"/>
      <c r="C19" s="139" t="s">
        <v>51</v>
      </c>
      <c r="D19" s="161" t="s">
        <v>52</v>
      </c>
      <c r="E19" s="340"/>
      <c r="F19" s="266">
        <v>12863</v>
      </c>
      <c r="G19" s="266">
        <v>0</v>
      </c>
      <c r="H19" s="337"/>
      <c r="I19" s="248">
        <v>922</v>
      </c>
      <c r="J19" s="248">
        <v>98.15</v>
      </c>
      <c r="K19" s="209"/>
      <c r="O19" s="131">
        <f>IF(F19&lt;=0,0,$E$16/F19)</f>
        <v>361.95743683433102</v>
      </c>
      <c r="P19" s="169">
        <f>IF($E$16&lt;=0,0,F19/$E$16)</f>
        <v>2.7627557779886227E-3</v>
      </c>
      <c r="Q19" s="130">
        <f>IF(I19&lt;=0,0,$H$16/I19)</f>
        <v>7802.7668221258136</v>
      </c>
      <c r="R19" s="169">
        <f>IF($H$16&lt;0,0,I19/$H$16)</f>
        <v>1.281596673072894E-4</v>
      </c>
    </row>
    <row r="20" spans="1:21" ht="33" customHeight="1" thickTop="1" thickBot="1" x14ac:dyDescent="0.25">
      <c r="A20" s="140" t="s">
        <v>53</v>
      </c>
      <c r="B20" s="128" t="s">
        <v>54</v>
      </c>
      <c r="C20" s="139" t="s">
        <v>55</v>
      </c>
      <c r="D20" s="125" t="s">
        <v>56</v>
      </c>
      <c r="E20" s="220">
        <v>1301775.94</v>
      </c>
      <c r="F20" s="266">
        <v>899</v>
      </c>
      <c r="G20" s="266">
        <v>98.8</v>
      </c>
      <c r="H20" s="250">
        <v>1391321.24</v>
      </c>
      <c r="I20" s="248">
        <v>946</v>
      </c>
      <c r="J20" s="248">
        <v>98.48</v>
      </c>
      <c r="K20" s="209"/>
      <c r="O20" s="129">
        <f>IF(F20&lt;=0,0,E20/F20)</f>
        <v>1448.0266295884314</v>
      </c>
      <c r="P20" s="166">
        <f>IF(H20&lt;=0,0,F20/E20)</f>
        <v>6.9059503434976686E-4</v>
      </c>
      <c r="Q20" s="129">
        <f>IF(I20&lt;=0,0,H20/I20)</f>
        <v>1470.7412684989429</v>
      </c>
      <c r="R20" s="166">
        <f>IF(I20&lt;=0,0,I20/H20)</f>
        <v>6.7992924480905651E-4</v>
      </c>
    </row>
    <row r="21" spans="1:21" ht="33" customHeight="1" thickTop="1" thickBot="1" x14ac:dyDescent="0.25">
      <c r="A21" s="140" t="s">
        <v>57</v>
      </c>
      <c r="B21" s="128" t="s">
        <v>58</v>
      </c>
      <c r="C21" s="139" t="s">
        <v>59</v>
      </c>
      <c r="D21" s="125" t="s">
        <v>60</v>
      </c>
      <c r="E21" s="220">
        <v>9146140</v>
      </c>
      <c r="F21" s="157">
        <v>1545159</v>
      </c>
      <c r="G21" s="157">
        <v>79.33</v>
      </c>
      <c r="H21" s="250">
        <v>9280172.3300000001</v>
      </c>
      <c r="I21" s="248">
        <v>1547945</v>
      </c>
      <c r="J21" s="248">
        <v>89.39</v>
      </c>
      <c r="K21" s="209"/>
      <c r="O21" s="129">
        <f>IF(F21&lt;=0,0,E21/F21)</f>
        <v>5.9192225525010693</v>
      </c>
      <c r="P21" s="166">
        <f>IF(H21&lt;=0,0,F21/E21)</f>
        <v>0.16894110520941075</v>
      </c>
      <c r="Q21" s="129">
        <f>IF(I21&lt;=0,0,H21/I21)</f>
        <v>5.9951563718349163</v>
      </c>
      <c r="R21" s="166">
        <f>IF(I21&lt;=0,0,I21/H21)</f>
        <v>0.1668013205957351</v>
      </c>
    </row>
    <row r="22" spans="1:21" ht="24.95" customHeight="1" thickTop="1" thickBot="1" x14ac:dyDescent="0.25">
      <c r="A22" s="291" t="s">
        <v>61</v>
      </c>
      <c r="B22" s="292"/>
      <c r="C22" s="292"/>
      <c r="D22" s="292"/>
      <c r="E22" s="292"/>
      <c r="F22" s="292"/>
      <c r="G22" s="293"/>
      <c r="H22" s="156"/>
      <c r="I22" s="156"/>
      <c r="J22" s="156"/>
      <c r="K22" s="209"/>
      <c r="O22" s="134"/>
      <c r="P22" s="167"/>
      <c r="Q22" s="165"/>
      <c r="R22" s="167"/>
    </row>
    <row r="23" spans="1:21" ht="32.1" customHeight="1" thickTop="1" thickBot="1" x14ac:dyDescent="0.25">
      <c r="A23" s="278" t="s">
        <v>62</v>
      </c>
      <c r="B23" s="277" t="s">
        <v>44</v>
      </c>
      <c r="C23" s="140" t="s">
        <v>63</v>
      </c>
      <c r="D23" s="128" t="s">
        <v>64</v>
      </c>
      <c r="E23" s="303">
        <v>4655858.51</v>
      </c>
      <c r="F23" s="266">
        <v>4273</v>
      </c>
      <c r="G23" s="266">
        <v>99.13</v>
      </c>
      <c r="H23" s="335">
        <v>7194151.0099999998</v>
      </c>
      <c r="I23" s="248">
        <v>669</v>
      </c>
      <c r="J23" s="248">
        <v>100</v>
      </c>
      <c r="K23" s="209"/>
      <c r="O23" s="129">
        <f>IF(F23&lt;=0,0,$E$23/F23)</f>
        <v>1089.599464076761</v>
      </c>
      <c r="P23" s="166">
        <f>IF($E$23&lt;=0,0,F23/$E$23)</f>
        <v>9.1776843965990713E-4</v>
      </c>
      <c r="Q23" s="129">
        <f>IF(I23&lt;=0,0,$H$23/I23)</f>
        <v>10753.588953662182</v>
      </c>
      <c r="R23" s="166">
        <f>IF($H$23&lt;=0,0,I23/$H$23)</f>
        <v>9.2992209792382434E-5</v>
      </c>
    </row>
    <row r="24" spans="1:21" ht="32.1" customHeight="1" thickTop="1" thickBot="1" x14ac:dyDescent="0.25">
      <c r="A24" s="279"/>
      <c r="B24" s="277"/>
      <c r="C24" s="140" t="s">
        <v>65</v>
      </c>
      <c r="D24" s="128" t="s">
        <v>66</v>
      </c>
      <c r="E24" s="303"/>
      <c r="F24" s="266">
        <v>530</v>
      </c>
      <c r="G24" s="266">
        <v>98.29</v>
      </c>
      <c r="H24" s="336"/>
      <c r="I24" s="248">
        <v>361</v>
      </c>
      <c r="J24" s="248">
        <v>97.41</v>
      </c>
      <c r="K24" s="209"/>
      <c r="O24" s="129">
        <f>IF(F24&lt;=0,0,$E$23/F24)</f>
        <v>8784.6386981132073</v>
      </c>
      <c r="P24" s="166">
        <f>IF($E$23&lt;=0,0,F24/$E$23)</f>
        <v>1.1383507442540388E-4</v>
      </c>
      <c r="Q24" s="129">
        <f>IF(I24&lt;=0,0,$H$23/I24)</f>
        <v>19928.396149584485</v>
      </c>
      <c r="R24" s="166">
        <f>IF($H$23&lt;=0,0,I24/$H$23)</f>
        <v>5.0179652817713097E-5</v>
      </c>
    </row>
    <row r="25" spans="1:21" ht="24.95" customHeight="1" thickTop="1" thickBot="1" x14ac:dyDescent="0.25">
      <c r="A25" s="280"/>
      <c r="B25" s="277"/>
      <c r="C25" s="140" t="s">
        <v>67</v>
      </c>
      <c r="D25" s="128" t="s">
        <v>68</v>
      </c>
      <c r="E25" s="303"/>
      <c r="F25" s="266">
        <v>1003</v>
      </c>
      <c r="G25" s="266">
        <v>99.12</v>
      </c>
      <c r="H25" s="337"/>
      <c r="I25" s="248">
        <v>622</v>
      </c>
      <c r="J25" s="248">
        <v>98.32</v>
      </c>
      <c r="K25" s="209"/>
      <c r="O25" s="129">
        <f>IF(F25&lt;=0,0,$E$23/F25)</f>
        <v>4641.9327118644069</v>
      </c>
      <c r="P25" s="166">
        <f>IF($E$23&lt;=0,0,F25/$E$23)</f>
        <v>2.154275087710945E-4</v>
      </c>
      <c r="Q25" s="129">
        <f>IF(I25&lt;=0,0,$H$23/I25)</f>
        <v>11566.159180064309</v>
      </c>
      <c r="R25" s="166">
        <f>IF($H$23&lt;=0,0,I25/$H$23)</f>
        <v>8.6459124799494584E-5</v>
      </c>
    </row>
    <row r="26" spans="1:21" ht="24.95" customHeight="1" thickTop="1" thickBot="1" x14ac:dyDescent="0.25">
      <c r="A26" s="288" t="s">
        <v>69</v>
      </c>
      <c r="B26" s="277" t="s">
        <v>70</v>
      </c>
      <c r="C26" s="140" t="s">
        <v>71</v>
      </c>
      <c r="D26" s="127" t="s">
        <v>72</v>
      </c>
      <c r="E26" s="334">
        <v>0</v>
      </c>
      <c r="F26" s="267"/>
      <c r="G26" s="267"/>
      <c r="H26" s="326">
        <v>0</v>
      </c>
      <c r="I26" s="247">
        <v>0</v>
      </c>
      <c r="J26" s="247">
        <v>0</v>
      </c>
      <c r="K26" s="209" t="s">
        <v>106</v>
      </c>
      <c r="O26" s="141"/>
      <c r="P26" s="171"/>
      <c r="Q26" s="144">
        <f>IF(I26&lt;=0,0,H26/I26)</f>
        <v>0</v>
      </c>
      <c r="R26" s="258">
        <f>IF(I26&lt;=0,0,I26/H26)</f>
        <v>0</v>
      </c>
    </row>
    <row r="27" spans="1:21" ht="24.95" customHeight="1" thickTop="1" thickBot="1" x14ac:dyDescent="0.25">
      <c r="A27" s="289"/>
      <c r="B27" s="277"/>
      <c r="C27" s="140" t="s">
        <v>73</v>
      </c>
      <c r="D27" s="127" t="s">
        <v>74</v>
      </c>
      <c r="E27" s="334"/>
      <c r="F27" s="157">
        <v>0</v>
      </c>
      <c r="G27" s="157">
        <v>0</v>
      </c>
      <c r="H27" s="327"/>
      <c r="I27" s="252"/>
      <c r="J27" s="252"/>
      <c r="K27" s="209"/>
      <c r="O27" s="129">
        <f>IF(F27&lt;=0,0,E26/F27)</f>
        <v>0</v>
      </c>
      <c r="P27" s="166">
        <f>IF($E$26&lt;=0,0,F27/$E$26)</f>
        <v>0</v>
      </c>
      <c r="Q27" s="141"/>
      <c r="R27" s="172"/>
    </row>
    <row r="28" spans="1:21" ht="28.5" customHeight="1" thickTop="1" thickBot="1" x14ac:dyDescent="0.3">
      <c r="A28" s="289"/>
      <c r="B28" s="277"/>
      <c r="C28" s="140" t="s">
        <v>75</v>
      </c>
      <c r="D28" s="126" t="s">
        <v>76</v>
      </c>
      <c r="E28" s="334">
        <v>8908787.0999999996</v>
      </c>
      <c r="F28" s="157">
        <v>556500</v>
      </c>
      <c r="G28" s="157">
        <v>90.8</v>
      </c>
      <c r="H28" s="326">
        <v>0</v>
      </c>
      <c r="I28" s="252"/>
      <c r="J28" s="252"/>
      <c r="O28" s="129">
        <f>IF(F28&lt;=0,0,$E$28/F28)</f>
        <v>16.008602156334231</v>
      </c>
      <c r="P28" s="166">
        <f>IF($E$28&lt;=0,0,F28/$E$28)</f>
        <v>6.246641588280856E-2</v>
      </c>
      <c r="Q28" s="142"/>
      <c r="R28" s="172"/>
    </row>
    <row r="29" spans="1:21" ht="28.5" customHeight="1" thickTop="1" thickBot="1" x14ac:dyDescent="0.3">
      <c r="A29" s="290"/>
      <c r="B29" s="277"/>
      <c r="C29" s="140" t="s">
        <v>77</v>
      </c>
      <c r="D29" s="125" t="s">
        <v>78</v>
      </c>
      <c r="E29" s="334"/>
      <c r="F29" s="157">
        <v>54150</v>
      </c>
      <c r="G29" s="157">
        <v>89.4</v>
      </c>
      <c r="H29" s="327"/>
      <c r="I29" s="252"/>
      <c r="J29" s="252"/>
      <c r="L29"/>
      <c r="M29"/>
      <c r="N29"/>
      <c r="O29" s="129">
        <f>IF(F29&lt;=0,0,$E$28/F29)</f>
        <v>164.52053739612188</v>
      </c>
      <c r="P29" s="166">
        <f>IF($E$28&lt;=0,0,F29/$E$28)</f>
        <v>6.0782684996479493E-3</v>
      </c>
      <c r="Q29" s="142"/>
      <c r="R29" s="172"/>
    </row>
    <row r="30" spans="1:21" ht="30" customHeight="1" thickTop="1" thickBot="1" x14ac:dyDescent="0.3">
      <c r="A30" s="140" t="s">
        <v>79</v>
      </c>
      <c r="B30" s="125" t="s">
        <v>80</v>
      </c>
      <c r="C30" s="140" t="s">
        <v>81</v>
      </c>
      <c r="D30" s="125" t="s">
        <v>82</v>
      </c>
      <c r="E30" s="220">
        <v>788424.7</v>
      </c>
      <c r="F30" s="157">
        <v>613</v>
      </c>
      <c r="G30" s="157">
        <v>100</v>
      </c>
      <c r="H30" s="250">
        <v>984110.98</v>
      </c>
      <c r="I30" s="248">
        <v>1048</v>
      </c>
      <c r="J30" s="248">
        <v>98.13</v>
      </c>
      <c r="K30" s="124"/>
      <c r="L30"/>
      <c r="M30"/>
      <c r="N30"/>
      <c r="O30" s="129">
        <f>IF(F30&lt;=0,0,E30/F30)</f>
        <v>1286.1740619902121</v>
      </c>
      <c r="P30" s="166">
        <f>IF(H30&lt;=0,0,F30/E30)</f>
        <v>7.7749974093911569E-4</v>
      </c>
      <c r="Q30" s="129">
        <f>IF(I30&lt;=0,0,H30/I30)</f>
        <v>939.03719465648851</v>
      </c>
      <c r="R30" s="166">
        <f>IF(I30&lt;=0,0,I30/H30)</f>
        <v>1.0649205438191534E-3</v>
      </c>
    </row>
    <row r="31" spans="1:21" ht="24.95" customHeight="1" thickTop="1" thickBot="1" x14ac:dyDescent="0.3">
      <c r="A31" s="291" t="s">
        <v>83</v>
      </c>
      <c r="B31" s="292"/>
      <c r="C31" s="292"/>
      <c r="D31" s="292"/>
      <c r="E31" s="292"/>
      <c r="F31" s="292"/>
      <c r="G31" s="293"/>
      <c r="H31" s="156"/>
      <c r="I31" s="156"/>
      <c r="J31" s="156"/>
      <c r="L31"/>
      <c r="M31"/>
      <c r="N31"/>
      <c r="O31" s="134"/>
      <c r="P31" s="167"/>
      <c r="Q31" s="165"/>
      <c r="R31" s="167"/>
    </row>
    <row r="32" spans="1:21" ht="39.950000000000003" customHeight="1" thickTop="1" thickBot="1" x14ac:dyDescent="0.3">
      <c r="A32" s="140" t="s">
        <v>84</v>
      </c>
      <c r="B32" s="128" t="s">
        <v>85</v>
      </c>
      <c r="C32" s="140" t="s">
        <v>86</v>
      </c>
      <c r="D32" s="127" t="s">
        <v>87</v>
      </c>
      <c r="E32" s="225">
        <v>26928780.370000001</v>
      </c>
      <c r="F32" s="157">
        <v>55312</v>
      </c>
      <c r="G32" s="157">
        <v>99.05</v>
      </c>
      <c r="H32" s="244">
        <v>21937980.149999999</v>
      </c>
      <c r="I32" s="248">
        <v>36247</v>
      </c>
      <c r="J32" s="248">
        <v>99.61</v>
      </c>
      <c r="O32" s="129">
        <f>IF(F32&lt;=0,0,E32/F32)</f>
        <v>486.85240761498409</v>
      </c>
      <c r="P32" s="166">
        <f>IF(H32&lt;=0,0,F32/E32)</f>
        <v>2.0540105879291999E-3</v>
      </c>
      <c r="Q32" s="129">
        <f>IF(I32&lt;=0,0,H32/I32)</f>
        <v>605.23574778602358</v>
      </c>
      <c r="R32" s="166">
        <f>IF(I32&lt;=0,0,I32/H32)</f>
        <v>1.6522487372202313E-3</v>
      </c>
      <c r="U32" s="226"/>
    </row>
    <row r="33" spans="1:18" ht="24.95" customHeight="1" thickTop="1" thickBot="1" x14ac:dyDescent="0.3">
      <c r="A33" s="291" t="s">
        <v>88</v>
      </c>
      <c r="B33" s="292"/>
      <c r="C33" s="292"/>
      <c r="D33" s="292"/>
      <c r="E33" s="292"/>
      <c r="F33" s="292"/>
      <c r="G33" s="293"/>
      <c r="H33" s="156"/>
      <c r="I33" s="156"/>
      <c r="J33" s="156"/>
      <c r="O33" s="134"/>
      <c r="P33" s="134"/>
      <c r="Q33" s="134"/>
      <c r="R33" s="134"/>
    </row>
    <row r="34" spans="1:18" ht="14.25" customHeight="1" thickTop="1" x14ac:dyDescent="0.25">
      <c r="E34" s="133"/>
      <c r="F34" s="133"/>
      <c r="G34" s="133"/>
      <c r="O34"/>
      <c r="P34"/>
      <c r="Q34"/>
      <c r="R34"/>
    </row>
    <row r="35" spans="1:18" ht="42.75" customHeight="1" x14ac:dyDescent="0.25">
      <c r="A35" s="332" t="s">
        <v>107</v>
      </c>
      <c r="B35" s="332"/>
      <c r="C35" s="332"/>
      <c r="D35" s="332"/>
      <c r="E35" s="332"/>
      <c r="F35" s="332"/>
      <c r="G35" s="332"/>
      <c r="H35" s="332"/>
    </row>
    <row r="36" spans="1:18" ht="15" customHeight="1" x14ac:dyDescent="0.25">
      <c r="B36" s="143"/>
      <c r="C36" s="143"/>
      <c r="D36" s="143"/>
      <c r="E36" s="143"/>
      <c r="F36" s="143"/>
      <c r="G36" s="143"/>
    </row>
    <row r="37" spans="1:18" x14ac:dyDescent="0.2">
      <c r="A37" s="210" t="s">
        <v>89</v>
      </c>
      <c r="B37" s="211"/>
      <c r="C37" s="210"/>
      <c r="D37" s="211"/>
      <c r="E37" s="212"/>
      <c r="F37" s="212"/>
      <c r="G37" s="212"/>
      <c r="H37" s="211"/>
      <c r="I37" s="211"/>
      <c r="J37" s="211"/>
      <c r="K37" s="211"/>
      <c r="L37" s="211"/>
      <c r="O37" s="124"/>
      <c r="P37" s="124"/>
      <c r="Q37" s="124"/>
      <c r="R37" s="124"/>
    </row>
    <row r="38" spans="1:18" x14ac:dyDescent="0.2">
      <c r="A38" s="213"/>
      <c r="B38" s="149"/>
      <c r="C38" s="210"/>
      <c r="D38" s="211"/>
      <c r="E38" s="212"/>
      <c r="F38" s="212"/>
      <c r="G38" s="212"/>
      <c r="H38" s="206"/>
      <c r="I38" s="206"/>
      <c r="J38" s="211"/>
      <c r="K38" s="211"/>
      <c r="L38" s="211"/>
    </row>
    <row r="39" spans="1:18" ht="29.25" customHeight="1" x14ac:dyDescent="0.2">
      <c r="A39" s="213"/>
      <c r="B39" s="211"/>
      <c r="C39" s="210"/>
      <c r="D39" s="211"/>
      <c r="E39" s="212"/>
      <c r="F39" s="212"/>
      <c r="G39" s="212"/>
      <c r="H39" s="206"/>
      <c r="I39" s="206"/>
      <c r="J39" s="211"/>
      <c r="K39" s="211"/>
      <c r="L39" s="211"/>
    </row>
    <row r="40" spans="1:18" ht="15.75" customHeight="1" x14ac:dyDescent="0.2">
      <c r="A40" s="311" t="s">
        <v>108</v>
      </c>
      <c r="B40" s="311"/>
      <c r="C40" s="205"/>
      <c r="D40" s="311" t="s">
        <v>91</v>
      </c>
      <c r="E40" s="311"/>
      <c r="F40" s="311"/>
      <c r="G40" s="311"/>
      <c r="H40" s="311"/>
      <c r="I40" s="311"/>
      <c r="J40" s="205"/>
      <c r="K40" s="205"/>
      <c r="L40" s="205"/>
    </row>
    <row r="41" spans="1:18" ht="20.25" customHeight="1" x14ac:dyDescent="0.2">
      <c r="A41" s="333" t="s">
        <v>109</v>
      </c>
      <c r="B41" s="333"/>
      <c r="C41" s="255"/>
      <c r="D41" s="312" t="s">
        <v>93</v>
      </c>
      <c r="E41" s="312"/>
      <c r="F41" s="312"/>
      <c r="G41" s="312"/>
      <c r="H41" s="312"/>
      <c r="I41" s="312"/>
      <c r="J41" s="254"/>
      <c r="K41" s="254"/>
      <c r="L41" s="254"/>
    </row>
    <row r="42" spans="1:18" x14ac:dyDescent="0.2">
      <c r="A42" s="213"/>
      <c r="B42" s="205"/>
      <c r="C42" s="205"/>
      <c r="D42" s="207"/>
      <c r="E42" s="207"/>
      <c r="F42" s="208"/>
      <c r="G42" s="205"/>
      <c r="H42" s="206"/>
      <c r="I42" s="206"/>
      <c r="J42" s="211"/>
      <c r="K42" s="211"/>
      <c r="L42" s="211"/>
    </row>
    <row r="43" spans="1:18" ht="37.5" customHeight="1" x14ac:dyDescent="0.2">
      <c r="A43" s="211"/>
      <c r="B43" s="205"/>
      <c r="C43" s="205"/>
      <c r="D43" s="207"/>
      <c r="E43" s="207"/>
      <c r="F43" s="208"/>
      <c r="G43" s="205"/>
      <c r="H43" s="206"/>
      <c r="I43" s="206"/>
      <c r="J43" s="211"/>
      <c r="K43" s="211"/>
      <c r="L43" s="211"/>
      <c r="O43" s="124"/>
      <c r="P43" s="124"/>
      <c r="Q43" s="124"/>
      <c r="R43" s="124"/>
    </row>
    <row r="44" spans="1:18" ht="15.75" customHeight="1" x14ac:dyDescent="0.2">
      <c r="A44" s="311" t="s">
        <v>110</v>
      </c>
      <c r="B44" s="311"/>
      <c r="C44" s="205"/>
      <c r="D44" s="311" t="s">
        <v>95</v>
      </c>
      <c r="E44" s="311"/>
      <c r="F44" s="311"/>
      <c r="G44" s="311"/>
      <c r="H44" s="311"/>
      <c r="I44" s="311"/>
      <c r="J44" s="205"/>
      <c r="K44" s="205"/>
      <c r="L44" s="205"/>
      <c r="O44" s="124"/>
      <c r="P44" s="124"/>
      <c r="Q44" s="124"/>
      <c r="R44" s="124"/>
    </row>
    <row r="45" spans="1:18" x14ac:dyDescent="0.2">
      <c r="A45" s="312" t="s">
        <v>96</v>
      </c>
      <c r="B45" s="312"/>
      <c r="C45" s="254"/>
      <c r="D45" s="312" t="s">
        <v>97</v>
      </c>
      <c r="E45" s="312"/>
      <c r="F45" s="312"/>
      <c r="G45" s="312"/>
      <c r="H45" s="312"/>
      <c r="I45" s="312"/>
      <c r="J45" s="254"/>
      <c r="K45" s="254"/>
      <c r="L45" s="254"/>
      <c r="O45" s="124"/>
      <c r="P45" s="124"/>
      <c r="Q45" s="124"/>
      <c r="R45" s="124"/>
    </row>
    <row r="46" spans="1:18" ht="15" customHeight="1" x14ac:dyDescent="0.2">
      <c r="B46" s="254"/>
      <c r="C46" s="254"/>
      <c r="D46" s="254"/>
      <c r="E46" s="254"/>
      <c r="F46" s="254"/>
      <c r="G46" s="254"/>
      <c r="H46" s="254"/>
      <c r="I46" s="254"/>
      <c r="J46" s="254"/>
      <c r="K46" s="254"/>
      <c r="L46" s="254"/>
    </row>
  </sheetData>
  <sheetProtection formatCells="0" formatColumns="0"/>
  <mergeCells count="47">
    <mergeCell ref="A35:H35"/>
    <mergeCell ref="Q1:R1"/>
    <mergeCell ref="A40:B40"/>
    <mergeCell ref="A41:B41"/>
    <mergeCell ref="A44:B44"/>
    <mergeCell ref="E28:E29"/>
    <mergeCell ref="H28:H29"/>
    <mergeCell ref="B26:B29"/>
    <mergeCell ref="H26:H27"/>
    <mergeCell ref="E26:E27"/>
    <mergeCell ref="H16:H19"/>
    <mergeCell ref="H23:H25"/>
    <mergeCell ref="B23:B25"/>
    <mergeCell ref="E16:E19"/>
    <mergeCell ref="Q2:R2"/>
    <mergeCell ref="B4:B7"/>
    <mergeCell ref="A45:B45"/>
    <mergeCell ref="D40:I40"/>
    <mergeCell ref="D41:I41"/>
    <mergeCell ref="D44:I44"/>
    <mergeCell ref="D45:I45"/>
    <mergeCell ref="H2:J2"/>
    <mergeCell ref="B8:B9"/>
    <mergeCell ref="H8:H9"/>
    <mergeCell ref="E8:E9"/>
    <mergeCell ref="H4:H7"/>
    <mergeCell ref="E2:G2"/>
    <mergeCell ref="A8:A9"/>
    <mergeCell ref="A4:A7"/>
    <mergeCell ref="A22:G22"/>
    <mergeCell ref="E4:E7"/>
    <mergeCell ref="A26:A29"/>
    <mergeCell ref="A31:G31"/>
    <mergeCell ref="A33:G33"/>
    <mergeCell ref="A23:A25"/>
    <mergeCell ref="O1:P1"/>
    <mergeCell ref="A2:A3"/>
    <mergeCell ref="B2:B3"/>
    <mergeCell ref="C2:C3"/>
    <mergeCell ref="D2:D3"/>
    <mergeCell ref="O2:P2"/>
    <mergeCell ref="E23:E25"/>
    <mergeCell ref="A16:A19"/>
    <mergeCell ref="A15:G15"/>
    <mergeCell ref="B16:B19"/>
    <mergeCell ref="A12:G12"/>
    <mergeCell ref="A1:J1"/>
  </mergeCells>
  <conditionalFormatting sqref="O4:R32">
    <cfRule type="cellIs" dxfId="21" priority="1" stopIfTrue="1" operator="equal">
      <formula>0</formula>
    </cfRule>
  </conditionalFormatting>
  <printOptions horizontalCentered="1"/>
  <pageMargins left="0.35433070866141736" right="0.15748031496062992" top="0.98425196850393704" bottom="0.6692913385826772" header="0.31496062992125984" footer="0.31496062992125984"/>
  <pageSetup paperSize="9" scale="75" fitToHeight="2" orientation="landscape" r:id="rId1"/>
  <headerFooter>
    <oddHeader>&amp;L&amp;G&amp;CORGANIZAÇÃO DAS VOLUNTÁRIAS DE GOIÁS
DIRETORIA GERAL
GERÊNCIA ESTRATÉGICA DE PLANEJAMENTO E GOVERNANÇA       
INDICADOR DE DESEMPENHO 2021/1</oddHeader>
  </headerFooter>
  <rowBreaks count="1" manualBreakCount="1">
    <brk id="22"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53"/>
  <sheetViews>
    <sheetView zoomScaleNormal="100" zoomScaleSheetLayoutView="80" workbookViewId="0">
      <pane xSplit="1" ySplit="3" topLeftCell="B40" activePane="bottomRight" state="frozen"/>
      <selection pane="topRight" activeCell="E35" sqref="E35"/>
      <selection pane="bottomLeft" activeCell="E35" sqref="E35"/>
      <selection pane="bottomRight" activeCell="D56" sqref="D56"/>
    </sheetView>
  </sheetViews>
  <sheetFormatPr defaultColWidth="8.85546875" defaultRowHeight="12.75" x14ac:dyDescent="0.2"/>
  <cols>
    <col min="1" max="1" width="14.5703125" style="199" customWidth="1"/>
    <col min="2" max="2" width="36.5703125" style="200" customWidth="1"/>
    <col min="3" max="3" width="12.5703125" style="201" bestFit="1" customWidth="1"/>
    <col min="4" max="4" width="38.42578125" style="200" bestFit="1" customWidth="1"/>
    <col min="5" max="5" width="11.140625" style="200" hidden="1" customWidth="1"/>
    <col min="6" max="6" width="8.140625" style="200" hidden="1" customWidth="1"/>
    <col min="7" max="7" width="10.7109375" style="200" hidden="1" customWidth="1"/>
    <col min="8" max="8" width="15.85546875" style="202" hidden="1" customWidth="1"/>
    <col min="9" max="9" width="8.140625" style="202" hidden="1" customWidth="1"/>
    <col min="10" max="10" width="11.85546875" style="200" customWidth="1"/>
    <col min="11" max="11" width="9.28515625" style="200" customWidth="1"/>
    <col min="12" max="12" width="11" style="200" customWidth="1"/>
    <col min="13" max="13" width="16.28515625" style="202" customWidth="1"/>
    <col min="14" max="14" width="7" style="202" customWidth="1"/>
    <col min="15" max="15" width="14.42578125" style="202" customWidth="1"/>
    <col min="16" max="16" width="4.7109375" style="174" customWidth="1"/>
    <col min="17" max="17" width="11.85546875" style="200" hidden="1" customWidth="1"/>
    <col min="18" max="18" width="11.85546875" style="202" bestFit="1" customWidth="1"/>
    <col min="19" max="19" width="6.7109375" style="202" hidden="1" customWidth="1"/>
    <col min="20" max="22" width="8.85546875" style="174"/>
    <col min="23" max="23" width="0" style="174" hidden="1" customWidth="1"/>
    <col min="24" max="24" width="17.5703125" style="174" hidden="1" customWidth="1"/>
    <col min="25" max="16384" width="8.85546875" style="174"/>
  </cols>
  <sheetData>
    <row r="1" spans="1:24" ht="32.25" customHeight="1" thickTop="1" thickBot="1" x14ac:dyDescent="0.25">
      <c r="A1" s="360" t="s">
        <v>111</v>
      </c>
      <c r="B1" s="361"/>
      <c r="C1" s="361"/>
      <c r="D1" s="361"/>
      <c r="E1" s="361"/>
      <c r="F1" s="361"/>
      <c r="G1" s="361"/>
      <c r="H1" s="361"/>
      <c r="I1" s="361"/>
      <c r="J1" s="361"/>
      <c r="K1" s="361"/>
      <c r="L1" s="361"/>
      <c r="M1" s="361"/>
      <c r="N1" s="361"/>
      <c r="O1" s="362"/>
      <c r="Q1" s="175" t="s">
        <v>112</v>
      </c>
      <c r="R1" s="175" t="s">
        <v>112</v>
      </c>
      <c r="S1" s="173"/>
      <c r="W1" s="350" t="s">
        <v>113</v>
      </c>
      <c r="X1" s="350"/>
    </row>
    <row r="2" spans="1:24" ht="27" customHeight="1" thickTop="1" thickBot="1" x14ac:dyDescent="0.25">
      <c r="A2" s="357" t="s">
        <v>2</v>
      </c>
      <c r="B2" s="357" t="s">
        <v>3</v>
      </c>
      <c r="C2" s="357" t="s">
        <v>4</v>
      </c>
      <c r="D2" s="357" t="s">
        <v>5</v>
      </c>
      <c r="E2" s="353" t="s">
        <v>99</v>
      </c>
      <c r="F2" s="353"/>
      <c r="G2" s="353"/>
      <c r="H2" s="353"/>
      <c r="I2" s="353"/>
      <c r="J2" s="353" t="s">
        <v>100</v>
      </c>
      <c r="K2" s="353"/>
      <c r="L2" s="353"/>
      <c r="M2" s="353"/>
      <c r="N2" s="353"/>
      <c r="O2" s="353" t="s">
        <v>114</v>
      </c>
      <c r="Q2" s="351" t="s">
        <v>115</v>
      </c>
      <c r="R2" s="351" t="s">
        <v>116</v>
      </c>
      <c r="S2" s="351" t="s">
        <v>117</v>
      </c>
      <c r="W2" s="176" t="s">
        <v>118</v>
      </c>
      <c r="X2" s="177">
        <f>PLANEJADO!E32+PLANEJADO!E30+PLANEJADO!E28+PLANEJADO!E26+PLANEJADO!E23+PLANEJADO!E21+PLANEJADO!E20+PLANEJADO!E16+PLANEJADO!E14+PLANEJADO!E13+PLANEJADO!E11+PLANEJADO!E10+PLANEJADO!E8+PLANEJADO!E4</f>
        <v>67585243.060000002</v>
      </c>
    </row>
    <row r="3" spans="1:24" ht="28.5" customHeight="1" thickTop="1" thickBot="1" x14ac:dyDescent="0.25">
      <c r="A3" s="358"/>
      <c r="B3" s="358"/>
      <c r="C3" s="358"/>
      <c r="D3" s="358"/>
      <c r="E3" s="178" t="s">
        <v>119</v>
      </c>
      <c r="F3" s="178" t="s">
        <v>120</v>
      </c>
      <c r="G3" s="178" t="s">
        <v>121</v>
      </c>
      <c r="H3" s="178" t="s">
        <v>122</v>
      </c>
      <c r="I3" s="178" t="s">
        <v>123</v>
      </c>
      <c r="J3" s="178" t="s">
        <v>119</v>
      </c>
      <c r="K3" s="178" t="s">
        <v>120</v>
      </c>
      <c r="L3" s="178" t="s">
        <v>121</v>
      </c>
      <c r="M3" s="178" t="s">
        <v>122</v>
      </c>
      <c r="N3" s="178" t="s">
        <v>123</v>
      </c>
      <c r="O3" s="353"/>
      <c r="Q3" s="352"/>
      <c r="R3" s="352"/>
      <c r="S3" s="352"/>
      <c r="W3" s="176" t="s">
        <v>124</v>
      </c>
      <c r="X3" s="179">
        <f>REALIZADO!E32+REALIZADO!E30+REALIZADO!E28+REALIZADO!E26+REALIZADO!E23+REALIZADO!E21+REALIZADO!E20+REALIZADO!E16+REALIZADO!E14+REALIZADO!E13+REALIZADO!E11+REALIZADO!E10+REALIZADO!E8+REALIZADO!E4</f>
        <v>62866969.419999994</v>
      </c>
    </row>
    <row r="4" spans="1:24" ht="27.95" customHeight="1" thickTop="1" thickBot="1" x14ac:dyDescent="0.25">
      <c r="A4" s="354" t="s">
        <v>14</v>
      </c>
      <c r="B4" s="359" t="s">
        <v>15</v>
      </c>
      <c r="C4" s="181" t="s">
        <v>16</v>
      </c>
      <c r="D4" s="182" t="s">
        <v>17</v>
      </c>
      <c r="E4" s="183">
        <f>REALIZADO!G4</f>
        <v>95.45</v>
      </c>
      <c r="F4" s="184">
        <f>IF(PLANEJADO!G4=0,0,IF((REALIZADO!F4/PLANEJADO!G4)*100&gt;100,100,(REALIZADO!F4/PLANEJADO!G4)*100))</f>
        <v>89.646464646464651</v>
      </c>
      <c r="G4" s="184">
        <f>IF(PLANEJADO!M4=0,0,IF((REALIZADO!P4/PLANEJADO!M4)*100&gt;100,100,(REALIZADO!P4/PLANEJADO!M4)*100))</f>
        <v>100</v>
      </c>
      <c r="H4" s="184">
        <f>IF(REALIZADO!O4=0,0,IF((((PLANEJADO!L4-REALIZADO!O4)/REALIZADO!O4)+1*100)&gt;100,100,((PLANEJADO!L4-REALIZADO!O4)/REALIZADO!O4)+1*100))</f>
        <v>100</v>
      </c>
      <c r="I4" s="183">
        <f>(E4*0.2)+(F4*0.35)+(G4*0.3)+(H4*0.15)</f>
        <v>95.466262626262619</v>
      </c>
      <c r="J4" s="183">
        <f>REALIZADO!J4</f>
        <v>96</v>
      </c>
      <c r="K4" s="184">
        <f>IF(PLANEJADO!H4=0,0,IF((REALIZADO!I4/PLANEJADO!H4)*100&gt;100,100,(REALIZADO!I4/PLANEJADO!H4)*100))</f>
        <v>82.323232323232318</v>
      </c>
      <c r="L4" s="184">
        <f>IF(PLANEJADO!O4=0,0,IF((REALIZADO!R4/PLANEJADO!O4)*100&gt;100,100,(REALIZADO!R4/PLANEJADO!O4)*100))</f>
        <v>100</v>
      </c>
      <c r="M4" s="184">
        <f>IF(REALIZADO!Q4=0,0,IF((((PLANEJADO!L4-REALIZADO!O4)/REALIZADO!O4)+1*100)&gt;100,100,((PLANEJADO!N4-REALIZADO!Q4)/REALIZADO!Q4)+1*100))</f>
        <v>100</v>
      </c>
      <c r="N4" s="183">
        <f>(J4*0.2)+(K4*0.35)+(L4*0.3)+(M4*0.15)</f>
        <v>93.013131313131311</v>
      </c>
      <c r="O4" s="183">
        <f>(I4+N4)/2</f>
        <v>94.239696969696965</v>
      </c>
      <c r="Q4" s="262">
        <f>IF(I35&lt;1,0,IF(I35&gt;10,10,I35))</f>
        <v>9.0239999999999991</v>
      </c>
      <c r="R4" s="262">
        <f>IF(N35&lt;1,0,IF(N35&gt;10,10,N35))</f>
        <v>8.68</v>
      </c>
      <c r="S4" s="262">
        <f>(Q4+R4)/2</f>
        <v>8.8520000000000003</v>
      </c>
      <c r="W4" s="185" t="s">
        <v>125</v>
      </c>
      <c r="X4" s="186">
        <f>X2-X3</f>
        <v>4718273.640000008</v>
      </c>
    </row>
    <row r="5" spans="1:24" ht="27.95" customHeight="1" thickTop="1" thickBot="1" x14ac:dyDescent="0.3">
      <c r="A5" s="355"/>
      <c r="B5" s="359"/>
      <c r="C5" s="181" t="s">
        <v>18</v>
      </c>
      <c r="D5" s="182" t="s">
        <v>19</v>
      </c>
      <c r="E5" s="183">
        <f>REALIZADO!G5</f>
        <v>91.67</v>
      </c>
      <c r="F5" s="184">
        <f>IF(PLANEJADO!G5=0,0,IF((REALIZADO!F5/PLANEJADO!G5)*100&gt;100,100,(REALIZADO!F5/PLANEJADO!G5)*100))</f>
        <v>86.111111111111114</v>
      </c>
      <c r="G5" s="184">
        <f>IF(PLANEJADO!M5=0,0,IF((REALIZADO!P5/PLANEJADO!M5)*100&gt;100,100,(REALIZADO!P5/PLANEJADO!M5)*100))</f>
        <v>100</v>
      </c>
      <c r="H5" s="184">
        <f>IF(REALIZADO!O5=0,0,IF((((PLANEJADO!L5-REALIZADO!O5)/REALIZADO!O5)+1*100)&gt;100,100,((PLANEJADO!L5-REALIZADO!O5)/REALIZADO!O5)+1*100))</f>
        <v>100</v>
      </c>
      <c r="I5" s="183">
        <f>(E5*0.2)+(F5*0.35)+(G5*0.3)+(H5*0.15)</f>
        <v>93.472888888888889</v>
      </c>
      <c r="J5" s="183">
        <f>REALIZADO!J5</f>
        <v>87.5</v>
      </c>
      <c r="K5" s="184">
        <f>IF(PLANEJADO!H5=0,0,IF((REALIZADO!I5/PLANEJADO!H5)*100&gt;100,100,(REALIZADO!I5/PLANEJADO!H5)*100))</f>
        <v>86.111111111111114</v>
      </c>
      <c r="L5" s="184">
        <f>IF(PLANEJADO!O5=0,0,IF((REALIZADO!R5/PLANEJADO!O5)*100&gt;100,100,(REALIZADO!R5/PLANEJADO!O5)*100))</f>
        <v>100</v>
      </c>
      <c r="M5" s="184">
        <f>IF(REALIZADO!Q5=0,0,IF((((PLANEJADO!L5-REALIZADO!O5)/REALIZADO!O5)+1*100)&gt;100,100,((PLANEJADO!N5-REALIZADO!Q5)/REALIZADO!Q5)+1*100))</f>
        <v>100</v>
      </c>
      <c r="N5" s="183">
        <f>(J5*0.2)+(K5*0.35)+(L5*0.3)+(M5*0.15)</f>
        <v>92.638888888888886</v>
      </c>
      <c r="O5" s="183">
        <f t="shared" ref="O5:O32" si="0">(I5+N5)/2</f>
        <v>93.055888888888887</v>
      </c>
      <c r="Q5" s="187"/>
      <c r="R5" s="187"/>
      <c r="S5" s="187"/>
    </row>
    <row r="6" spans="1:24" ht="35.1" customHeight="1" thickTop="1" thickBot="1" x14ac:dyDescent="0.3">
      <c r="A6" s="355"/>
      <c r="B6" s="359"/>
      <c r="C6" s="181" t="s">
        <v>20</v>
      </c>
      <c r="D6" s="182" t="s">
        <v>21</v>
      </c>
      <c r="E6" s="238">
        <f>REALIZADO!G6</f>
        <v>0</v>
      </c>
      <c r="F6" s="184">
        <f>IF(PLANEJADO!G6=0,0,IF((REALIZADO!F6/PLANEJADO!G6)*100&gt;100,100,(REALIZADO!F6/PLANEJADO!G6)*100))</f>
        <v>91.666666666666657</v>
      </c>
      <c r="G6" s="184">
        <f>IF(PLANEJADO!M6=0,0,IF((REALIZADO!P6/PLANEJADO!M6)*100&gt;100,100,(REALIZADO!P6/PLANEJADO!M6)*100))</f>
        <v>100</v>
      </c>
      <c r="H6" s="184">
        <f>IF(REALIZADO!O6=0,0,IF((((PLANEJADO!L6-REALIZADO!O6)/REALIZADO!O6)+1*100)&gt;100,100,((PLANEJADO!L6-REALIZADO!O6)/REALIZADO!O6)+1*100))</f>
        <v>100</v>
      </c>
      <c r="I6" s="183">
        <f>(F6*0.438)+(G6*0.375)+(H6*0.187)</f>
        <v>96.350000000000009</v>
      </c>
      <c r="J6" s="238">
        <f>REALIZADO!J6</f>
        <v>0</v>
      </c>
      <c r="K6" s="184">
        <f>IF(PLANEJADO!H6=0,0,IF((REALIZADO!I6/PLANEJADO!H6)*100&gt;100,100,(REALIZADO!I6/PLANEJADO!H6)*100))</f>
        <v>81.944444444444443</v>
      </c>
      <c r="L6" s="184">
        <f>IF(PLANEJADO!O6=0,0,IF((REALIZADO!R6/PLANEJADO!O6)*100&gt;100,100,(REALIZADO!R6/PLANEJADO!O6)*100))</f>
        <v>100</v>
      </c>
      <c r="M6" s="184">
        <f>IF(REALIZADO!Q6=0,0,IF((((PLANEJADO!L6-REALIZADO!O6)/REALIZADO!O6)+1*100)&gt;100,100,((PLANEJADO!N6-REALIZADO!Q6)/REALIZADO!Q6)+1*100))</f>
        <v>100</v>
      </c>
      <c r="N6" s="183">
        <f>(K6*0.438)+(L6*0.375)+(M6*0.187)</f>
        <v>92.091666666666669</v>
      </c>
      <c r="O6" s="183">
        <f t="shared" si="0"/>
        <v>94.220833333333331</v>
      </c>
      <c r="Q6" s="187"/>
      <c r="R6" s="187"/>
      <c r="S6" s="187"/>
    </row>
    <row r="7" spans="1:24" ht="27.95" customHeight="1" thickTop="1" thickBot="1" x14ac:dyDescent="0.3">
      <c r="A7" s="356"/>
      <c r="B7" s="359"/>
      <c r="C7" s="181" t="s">
        <v>22</v>
      </c>
      <c r="D7" s="188" t="s">
        <v>23</v>
      </c>
      <c r="E7" s="238">
        <f>REALIZADO!G7</f>
        <v>0</v>
      </c>
      <c r="F7" s="184">
        <f>IF(PLANEJADO!G7=0,0,IF((REALIZADO!F7/PLANEJADO!G7)*100&gt;100,100,(REALIZADO!F7/PLANEJADO!G7)*100))</f>
        <v>52.159090909090914</v>
      </c>
      <c r="G7" s="184">
        <f>IF(PLANEJADO!M7=0,0,IF((REALIZADO!P7/PLANEJADO!M7)*100&gt;100,100,(REALIZADO!P7/PLANEJADO!M7)*100))</f>
        <v>62.419140338111191</v>
      </c>
      <c r="H7" s="184">
        <f>IF(REALIZADO!O7=0,0,IF((((PLANEJADO!L7-REALIZADO!O7)/REALIZADO!O7)+1*100)&gt;100,100,((PLANEJADO!L7-REALIZADO!O7)/REALIZADO!O7)+1*100))</f>
        <v>99.624191403381118</v>
      </c>
      <c r="I7" s="238">
        <f>(F7*0.438)+(G7*0.375)+(H7*0.187)</f>
        <v>64.882583237405782</v>
      </c>
      <c r="J7" s="238">
        <f>REALIZADO!J7</f>
        <v>0</v>
      </c>
      <c r="K7" s="184">
        <f>IF(PLANEJADO!H7=0,0,IF((REALIZADO!I7/PLANEJADO!H7)*100&gt;100,100,(REALIZADO!I7/PLANEJADO!H7)*100))</f>
        <v>34.550561797752813</v>
      </c>
      <c r="L7" s="184">
        <f>IF(PLANEJADO!O7=0,0,IF((REALIZADO!R7/PLANEJADO!O7)*100&gt;100,100,(REALIZADO!R7/PLANEJADO!O7)*100))</f>
        <v>42.449454454478122</v>
      </c>
      <c r="M7" s="184">
        <f>IF(REALIZADO!Q7=0,0,IF((((PLANEJADO!L7-REALIZADO!O7)/REALIZADO!O7)+1*100)&gt;100,100,((PLANEJADO!N7-REALIZADO!Q7)/REALIZADO!Q7)+1*100))</f>
        <v>99.424494544544785</v>
      </c>
      <c r="N7" s="183">
        <f>(K7*0.438)+(L7*0.375)+(M7*0.187)</f>
        <v>49.644071967674904</v>
      </c>
      <c r="O7" s="183">
        <f t="shared" si="0"/>
        <v>57.263327602540343</v>
      </c>
      <c r="Q7" s="187"/>
      <c r="R7" s="187"/>
      <c r="S7" s="187"/>
    </row>
    <row r="8" spans="1:24" ht="30" customHeight="1" thickTop="1" thickBot="1" x14ac:dyDescent="0.3">
      <c r="A8" s="347" t="s">
        <v>24</v>
      </c>
      <c r="B8" s="349" t="s">
        <v>25</v>
      </c>
      <c r="C8" s="181" t="s">
        <v>26</v>
      </c>
      <c r="D8" s="182" t="s">
        <v>19</v>
      </c>
      <c r="E8" s="183">
        <f>REALIZADO!G8</f>
        <v>100</v>
      </c>
      <c r="F8" s="184">
        <f>IF(PLANEJADO!G8=0,0,IF((REALIZADO!F8/PLANEJADO!G8)*100&gt;100,100,(REALIZADO!F8/PLANEJADO!G8)*100))</f>
        <v>88.888888888888886</v>
      </c>
      <c r="G8" s="184">
        <f>IF(PLANEJADO!M8=0,0,IF((REALIZADO!P8/PLANEJADO!M8)*100&gt;100,100,(REALIZADO!P8/PLANEJADO!M8)*100))</f>
        <v>87.418001310247561</v>
      </c>
      <c r="H8" s="184">
        <f>IF(REALIZADO!O8=0,0,IF((((PLANEJADO!L8-REALIZADO!O8)/REALIZADO!O8)+1*100)&gt;100,100,((PLANEJADO!L8-REALIZADO!O8)/REALIZADO!O8)+1*100))</f>
        <v>99.874180013102475</v>
      </c>
      <c r="I8" s="238">
        <f>(E8*0.2)+(F8*0.35)+(G8*0.3)+(H8*0.15)</f>
        <v>92.317638506150757</v>
      </c>
      <c r="J8" s="238">
        <f>REALIZADO!J8</f>
        <v>100</v>
      </c>
      <c r="K8" s="184">
        <f>IF(PLANEJADO!H8=0,0,IF((REALIZADO!I8/PLANEJADO!H8)*100&gt;100,100,(REALIZADO!I8/PLANEJADO!H8)*100))</f>
        <v>81.666666666666671</v>
      </c>
      <c r="L8" s="184">
        <f>IF(PLANEJADO!O8=0,0,IF((REALIZADO!R8/PLANEJADO!O8)*100&gt;100,100,(REALIZADO!R8/PLANEJADO!O8)*100))</f>
        <v>73.407093484823847</v>
      </c>
      <c r="M8" s="184">
        <f>IF(REALIZADO!Q8=0,0,IF((((PLANEJADO!L8-REALIZADO!O8)/REALIZADO!O8)+1*100)&gt;100,100,((PLANEJADO!N8-REALIZADO!Q8)/REALIZADO!Q8)+1*100))</f>
        <v>99.734070934848233</v>
      </c>
      <c r="N8" s="183">
        <f>(J8*0.2)+(K8*0.35)+(L8*0.3)+(M8*0.15)</f>
        <v>85.565572019007732</v>
      </c>
      <c r="O8" s="183">
        <f t="shared" si="0"/>
        <v>88.941605262579245</v>
      </c>
      <c r="Q8" s="187"/>
      <c r="R8" s="187"/>
      <c r="S8" s="187"/>
    </row>
    <row r="9" spans="1:24" ht="30" customHeight="1" thickTop="1" thickBot="1" x14ac:dyDescent="0.3">
      <c r="A9" s="348"/>
      <c r="B9" s="349"/>
      <c r="C9" s="181" t="s">
        <v>27</v>
      </c>
      <c r="D9" s="182" t="s">
        <v>23</v>
      </c>
      <c r="E9" s="238">
        <f>REALIZADO!G9</f>
        <v>0</v>
      </c>
      <c r="F9" s="184">
        <f>IF(PLANEJADO!G9=0,0,IF((REALIZADO!F9/PLANEJADO!G9)*100&gt;100,100,(REALIZADO!F9/PLANEJADO!G9)*100))</f>
        <v>32.666666666666664</v>
      </c>
      <c r="G9" s="184">
        <f>IF(PLANEJADO!M9=0,0,IF((REALIZADO!P9/PLANEJADO!M9)*100&gt;100,100,(REALIZADO!P9/PLANEJADO!M9)*100))</f>
        <v>32.126115481515974</v>
      </c>
      <c r="H9" s="184">
        <f>IF(REALIZADO!O9=0,0,IF((((PLANEJADO!L9-REALIZADO!O9)/REALIZADO!O9)+1*100)&gt;100,100,((PLANEJADO!L9-REALIZADO!O9)/REALIZADO!O9)+1*100))</f>
        <v>99.321261154815161</v>
      </c>
      <c r="I9" s="238">
        <f>(F9*0.438)+(G9*0.375)+(H9*0.187)</f>
        <v>44.928369141518928</v>
      </c>
      <c r="J9" s="238">
        <f>REALIZADO!J9</f>
        <v>0</v>
      </c>
      <c r="K9" s="184">
        <f>IF(PLANEJADO!H9=0,0,IF((REALIZADO!I9/PLANEJADO!H9)*100&gt;100,100,(REALIZADO!I9/PLANEJADO!H9)*100))</f>
        <v>33.25</v>
      </c>
      <c r="L9" s="184">
        <f>IF(PLANEJADO!O9=0,0,IF((REALIZADO!R9/PLANEJADO!O9)*100&gt;100,100,(REALIZADO!R9/PLANEJADO!O9)*100))</f>
        <v>29.887173775963998</v>
      </c>
      <c r="M9" s="184">
        <f>IF(REALIZADO!Q9=0,0,IF((((PLANEJADO!L9-REALIZADO!O9)/REALIZADO!O9)+1*100)&gt;100,100,((PLANEJADO!N9-REALIZADO!Q9)/REALIZADO!Q9)+1*100))</f>
        <v>99.29887173775964</v>
      </c>
      <c r="N9" s="183">
        <f>(K9*0.438)+(L9*0.375)+(M9*0.187)</f>
        <v>44.340079180947548</v>
      </c>
      <c r="O9" s="183">
        <f t="shared" si="0"/>
        <v>44.634224161233234</v>
      </c>
      <c r="Q9" s="187"/>
      <c r="R9" s="187"/>
      <c r="S9" s="187"/>
    </row>
    <row r="10" spans="1:24" ht="34.5" customHeight="1" thickTop="1" thickBot="1" x14ac:dyDescent="0.3">
      <c r="A10" s="189" t="s">
        <v>28</v>
      </c>
      <c r="B10" s="182" t="s">
        <v>29</v>
      </c>
      <c r="C10" s="181" t="s">
        <v>30</v>
      </c>
      <c r="D10" s="182" t="s">
        <v>23</v>
      </c>
      <c r="E10" s="183">
        <f>REALIZADO!G10</f>
        <v>0</v>
      </c>
      <c r="F10" s="184">
        <f>IF(PLANEJADO!G10=0,0,IF((REALIZADO!F10/PLANEJADO!G10)*100&gt;100,100,(REALIZADO!F10/PLANEJADO!G10)*100))</f>
        <v>100</v>
      </c>
      <c r="G10" s="184">
        <f>IF(PLANEJADO!M10=0,0,IF((REALIZADO!P10/PLANEJADO!M10)*100&gt;100,100,(REALIZADO!P10/PLANEJADO!M10)*100))</f>
        <v>100</v>
      </c>
      <c r="H10" s="184">
        <f>IF(REALIZADO!O10=0,0,IF((((PLANEJADO!L10-REALIZADO!O10)/REALIZADO!O10)+1*100)&gt;100,100,((PLANEJADO!L10-REALIZADO!O10)/REALIZADO!O10)+1*100))</f>
        <v>100</v>
      </c>
      <c r="I10" s="238">
        <f>(F10*0.438)+(G10*0.375)+(H10*0.187)</f>
        <v>100</v>
      </c>
      <c r="J10" s="183">
        <f>REALIZADO!J10</f>
        <v>0</v>
      </c>
      <c r="K10" s="184">
        <f>IF(PLANEJADO!H10=0,0,IF((REALIZADO!I10/PLANEJADO!H10)*100&gt;100,100,(REALIZADO!I10/PLANEJADO!H10)*100))</f>
        <v>100</v>
      </c>
      <c r="L10" s="184">
        <f>IF(PLANEJADO!O10=0,0,IF((REALIZADO!R10/PLANEJADO!O10)*100&gt;100,100,(REALIZADO!R10/PLANEJADO!O10)*100))</f>
        <v>100</v>
      </c>
      <c r="M10" s="184">
        <f>IF(REALIZADO!Q10=0,0,IF((((PLANEJADO!L10-REALIZADO!O10)/REALIZADO!O10)+1*100)&gt;100,100,((PLANEJADO!N10-REALIZADO!Q10)/REALIZADO!Q10)+1*100))</f>
        <v>100</v>
      </c>
      <c r="N10" s="183">
        <f>(K10*0.438)+(L10*0.375)+(M10*0.187)</f>
        <v>100</v>
      </c>
      <c r="O10" s="183">
        <f t="shared" si="0"/>
        <v>100</v>
      </c>
      <c r="Q10" s="187"/>
      <c r="R10" s="187"/>
      <c r="S10" s="187"/>
    </row>
    <row r="11" spans="1:24" ht="34.5" customHeight="1" thickTop="1" thickBot="1" x14ac:dyDescent="0.3">
      <c r="A11" s="189" t="s">
        <v>31</v>
      </c>
      <c r="B11" s="182" t="s">
        <v>32</v>
      </c>
      <c r="C11" s="181" t="s">
        <v>33</v>
      </c>
      <c r="D11" s="182" t="s">
        <v>23</v>
      </c>
      <c r="E11" s="183">
        <f>REALIZADO!G11</f>
        <v>0</v>
      </c>
      <c r="F11" s="184">
        <f>IF(PLANEJADO!G11=0,0,IF((REALIZADO!F11/PLANEJADO!G11)*100&gt;100,100,(REALIZADO!F11/PLANEJADO!G11)*100))</f>
        <v>53.392857142857139</v>
      </c>
      <c r="G11" s="184">
        <f>IF(PLANEJADO!M11=0,0,IF((REALIZADO!P11/PLANEJADO!M11)*100&gt;100,100,(REALIZADO!P11/PLANEJADO!M11)*100))</f>
        <v>100</v>
      </c>
      <c r="H11" s="184">
        <f>IF(REALIZADO!O11=0,0,IF((((PLANEJADO!L11-REALIZADO!O11)/REALIZADO!O11)+1*100)&gt;100,100,((PLANEJADO!L11-REALIZADO!O11)/REALIZADO!O11)+1*100))</f>
        <v>100</v>
      </c>
      <c r="I11" s="238">
        <f>(F11*0.438)+(G11*0.375)+(H11*0.187)</f>
        <v>79.586071428571429</v>
      </c>
      <c r="J11" s="183">
        <f>REALIZADO!J11</f>
        <v>0</v>
      </c>
      <c r="K11" s="184">
        <f>IF(PLANEJADO!H11=0,0,IF((REALIZADO!I11/PLANEJADO!H11)*100&gt;100,100,(REALIZADO!I11/PLANEJADO!H11)*100))</f>
        <v>100</v>
      </c>
      <c r="L11" s="184">
        <f>IF(PLANEJADO!O11=0,0,IF((REALIZADO!R11/PLANEJADO!O11)*100&gt;100,100,(REALIZADO!R11/PLANEJADO!O11)*100))</f>
        <v>100</v>
      </c>
      <c r="M11" s="184">
        <f>IF(REALIZADO!Q11=0,0,IF((((PLANEJADO!L11-REALIZADO!O11)/REALIZADO!O11)+1*100)&gt;100,100,((PLANEJADO!N11-REALIZADO!Q11)/REALIZADO!Q11)+1*100))</f>
        <v>100</v>
      </c>
      <c r="N11" s="183">
        <f>(K11*0.438)+(L11*0.375)+(M11*0.187)</f>
        <v>100</v>
      </c>
      <c r="O11" s="183">
        <f t="shared" si="0"/>
        <v>89.793035714285708</v>
      </c>
      <c r="Q11" s="187"/>
      <c r="R11" s="187"/>
      <c r="S11" s="187"/>
    </row>
    <row r="12" spans="1:24" ht="30" customHeight="1" thickTop="1" thickBot="1" x14ac:dyDescent="0.3">
      <c r="A12" s="343" t="s">
        <v>126</v>
      </c>
      <c r="B12" s="343"/>
      <c r="C12" s="343"/>
      <c r="D12" s="343"/>
      <c r="E12" s="190">
        <f>(SUM(E4:E11))/3</f>
        <v>95.706666666666663</v>
      </c>
      <c r="F12" s="190">
        <f>(SUM(F4:F11))/8</f>
        <v>74.316468253968253</v>
      </c>
      <c r="G12" s="190">
        <f>(SUM(G4:G11))/8</f>
        <v>85.245407141234352</v>
      </c>
      <c r="H12" s="190">
        <f>(SUM(H4:H11))/8</f>
        <v>99.852454071412353</v>
      </c>
      <c r="I12" s="190">
        <f>IF((SUM(I4:I11))/8&gt;100,10,INT((SUM(I4:I11))/80))</f>
        <v>8</v>
      </c>
      <c r="J12" s="190">
        <f>(SUM(J4:J11))/3</f>
        <v>94.5</v>
      </c>
      <c r="K12" s="190">
        <f>(SUM(K4:K11))/8</f>
        <v>74.980752042900917</v>
      </c>
      <c r="L12" s="190">
        <f>(SUM(L4:L11))/8</f>
        <v>80.717965214408252</v>
      </c>
      <c r="M12" s="190">
        <f>(SUM(M4:M11))/8</f>
        <v>99.807179652144086</v>
      </c>
      <c r="N12" s="190">
        <f>IF((SUM(N4:N11))/8&gt;100,10,INT((SUM(N4:N11))/80))</f>
        <v>8</v>
      </c>
      <c r="O12" s="190">
        <f>(I12+N12)/2</f>
        <v>8</v>
      </c>
      <c r="Q12" s="187"/>
      <c r="R12" s="187"/>
      <c r="S12" s="187"/>
    </row>
    <row r="13" spans="1:24" ht="34.5" customHeight="1" thickTop="1" thickBot="1" x14ac:dyDescent="0.3">
      <c r="A13" s="181" t="s">
        <v>35</v>
      </c>
      <c r="B13" s="191" t="s">
        <v>36</v>
      </c>
      <c r="C13" s="181" t="s">
        <v>37</v>
      </c>
      <c r="D13" s="192" t="s">
        <v>23</v>
      </c>
      <c r="E13" s="183">
        <f>REALIZADO!G13</f>
        <v>0</v>
      </c>
      <c r="F13" s="184">
        <f>IF(PLANEJADO!G13=0,0,IF((REALIZADO!F13/PLANEJADO!G13)*100&gt;100,100,(REALIZADO!F13/PLANEJADO!G13)*100))</f>
        <v>100</v>
      </c>
      <c r="G13" s="184">
        <f>IF(PLANEJADO!M13=0,0,IF((REALIZADO!P13/PLANEJADO!M13)*100&gt;100,100,(REALIZADO!P13/PLANEJADO!M13)*100))</f>
        <v>100</v>
      </c>
      <c r="H13" s="184">
        <f>IF(REALIZADO!O13=0,0,IF((((PLANEJADO!L13-REALIZADO!O13)/REALIZADO!O13)+1*100)&gt;100,100,((PLANEJADO!L13-REALIZADO!O13)/REALIZADO!O13)+1*100))</f>
        <v>100</v>
      </c>
      <c r="I13" s="183">
        <f>(F13*0.438)+(G13*0.375)+(H13*0.187)</f>
        <v>100</v>
      </c>
      <c r="J13" s="183">
        <f>REALIZADO!J13</f>
        <v>0</v>
      </c>
      <c r="K13" s="184">
        <f>IF(PLANEJADO!H13=0,0,IF((REALIZADO!I13/PLANEJADO!H13)*100&gt;100,100,(REALIZADO!I13/PLANEJADO!H13)*100))</f>
        <v>85.462962962962962</v>
      </c>
      <c r="L13" s="184">
        <f>IF(PLANEJADO!O13=0,0,IF((REALIZADO!R13/PLANEJADO!O13)*100&gt;100,100,(REALIZADO!R13/PLANEJADO!O13)*100))</f>
        <v>100</v>
      </c>
      <c r="M13" s="184">
        <f>IF(REALIZADO!Q13=0,0,IF((((PLANEJADO!L13-REALIZADO!O13)/REALIZADO!O13)+1*100)&gt;100,100,((PLANEJADO!N13-REALIZADO!Q13)/REALIZADO!Q13)+1*100))</f>
        <v>100</v>
      </c>
      <c r="N13" s="183">
        <f>(K13*0.438)+(L13*0.375)+(M13*0.187)</f>
        <v>93.632777777777775</v>
      </c>
      <c r="O13" s="183">
        <f t="shared" si="0"/>
        <v>96.816388888888895</v>
      </c>
      <c r="Q13" s="187"/>
      <c r="R13" s="187"/>
      <c r="S13" s="187"/>
    </row>
    <row r="14" spans="1:24" ht="35.1" customHeight="1" thickTop="1" thickBot="1" x14ac:dyDescent="0.3">
      <c r="A14" s="180" t="s">
        <v>38</v>
      </c>
      <c r="B14" s="222" t="s">
        <v>39</v>
      </c>
      <c r="C14" s="181" t="s">
        <v>40</v>
      </c>
      <c r="D14" s="182" t="s">
        <v>41</v>
      </c>
      <c r="E14" s="183">
        <f>REALIZADO!G14</f>
        <v>0</v>
      </c>
      <c r="F14" s="184">
        <f>IF(PLANEJADO!G14=0,0,IF((REALIZADO!F14/PLANEJADO!G14)*100&gt;100,100,(REALIZADO!F14/PLANEJADO!G14)*100))</f>
        <v>59.333333333333336</v>
      </c>
      <c r="G14" s="184">
        <f>IF(PLANEJADO!M14=0,0,IF((REALIZADO!P14/PLANEJADO!M14)*100&gt;100,100,(REALIZADO!P14/PLANEJADO!M14)*100))</f>
        <v>100</v>
      </c>
      <c r="H14" s="184">
        <f>IF(REALIZADO!O14=0,0,IF((((PLANEJADO!L14-REALIZADO!O14)/REALIZADO!O14)+1*100)&gt;100,100,((PLANEJADO!L14-REALIZADO!O14)/REALIZADO!O14)+1*100))</f>
        <v>100</v>
      </c>
      <c r="I14" s="183">
        <f>(F14*0.438)+(G14*0.375)+(H14*0.187)</f>
        <v>82.188000000000002</v>
      </c>
      <c r="J14" s="183">
        <f>REALIZADO!J14</f>
        <v>0</v>
      </c>
      <c r="K14" s="184">
        <f>IF(PLANEJADO!H14=0,0,IF((REALIZADO!I14/PLANEJADO!H14)*100&gt;100,100,(REALIZADO!I14/PLANEJADO!H14)*100))</f>
        <v>60.55555555555555</v>
      </c>
      <c r="L14" s="184">
        <f>IF(PLANEJADO!O14=0,0,IF((REALIZADO!R14/PLANEJADO!O14)*100&gt;100,100,(REALIZADO!R14/PLANEJADO!O14)*100))</f>
        <v>100</v>
      </c>
      <c r="M14" s="184">
        <f>IF(REALIZADO!Q14=0,0,IF((((PLANEJADO!L14-REALIZADO!O14)/REALIZADO!O14)+1*100)&gt;100,100,((PLANEJADO!N14-REALIZADO!Q14)/REALIZADO!Q14)+1*100))</f>
        <v>100</v>
      </c>
      <c r="N14" s="183">
        <f>(K14*0.438)+(L14*0.375)+(M14*0.187)</f>
        <v>82.723333333333329</v>
      </c>
      <c r="O14" s="183">
        <f t="shared" si="0"/>
        <v>82.455666666666673</v>
      </c>
      <c r="Q14" s="187"/>
      <c r="R14" s="187"/>
      <c r="S14" s="187"/>
    </row>
    <row r="15" spans="1:24" ht="30" customHeight="1" thickTop="1" thickBot="1" x14ac:dyDescent="0.3">
      <c r="A15" s="343" t="s">
        <v>127</v>
      </c>
      <c r="B15" s="343"/>
      <c r="C15" s="343"/>
      <c r="D15" s="343"/>
      <c r="E15" s="190">
        <f>(SUM(E13:E14))/2</f>
        <v>0</v>
      </c>
      <c r="F15" s="190">
        <f>(SUM(F13:F14))/2</f>
        <v>79.666666666666671</v>
      </c>
      <c r="G15" s="190">
        <f>(SUM(G13:G14))/2</f>
        <v>100</v>
      </c>
      <c r="H15" s="190">
        <f>(SUM(H13:H14))/2</f>
        <v>100</v>
      </c>
      <c r="I15" s="190">
        <f>IF((SUM(I13:I14))/2&gt;100,10,INT((SUM(I13:I14))/20))</f>
        <v>9</v>
      </c>
      <c r="J15" s="190">
        <f>(SUM(J13:J14))/2</f>
        <v>0</v>
      </c>
      <c r="K15" s="190">
        <f>(SUM(K13:K14))/2</f>
        <v>73.009259259259252</v>
      </c>
      <c r="L15" s="190">
        <f>(SUM(L13:L14))/2</f>
        <v>100</v>
      </c>
      <c r="M15" s="190">
        <f>(SUM(M13:M14))/2</f>
        <v>100</v>
      </c>
      <c r="N15" s="190">
        <f>IF((SUM(N13:N14))/2&gt;100,10,INT((SUM(N13:N14))/20))</f>
        <v>8</v>
      </c>
      <c r="O15" s="190">
        <f t="shared" si="0"/>
        <v>8.5</v>
      </c>
      <c r="Q15" s="187"/>
      <c r="R15" s="187"/>
      <c r="S15" s="187"/>
    </row>
    <row r="16" spans="1:24" ht="27.95" customHeight="1" thickTop="1" thickBot="1" x14ac:dyDescent="0.3">
      <c r="A16" s="278" t="s">
        <v>43</v>
      </c>
      <c r="B16" s="300" t="s">
        <v>44</v>
      </c>
      <c r="C16" s="181" t="s">
        <v>45</v>
      </c>
      <c r="D16" s="193" t="s">
        <v>46</v>
      </c>
      <c r="E16" s="183">
        <f>REALIZADO!G16</f>
        <v>95.95</v>
      </c>
      <c r="F16" s="184">
        <f>IF(PLANEJADO!G16=0,0,IF((REALIZADO!F16/PLANEJADO!G16)*100&gt;100,100,(REALIZADO!F16/PLANEJADO!G16)*100))</f>
        <v>100</v>
      </c>
      <c r="G16" s="184">
        <f>IF(PLANEJADO!M16=0,0,IF((REALIZADO!P16/PLANEJADO!M16)*100&gt;100,100,(REALIZADO!P16/PLANEJADO!M16)*100))</f>
        <v>100</v>
      </c>
      <c r="H16" s="184">
        <f>IF(REALIZADO!O16=0,0,IF((((PLANEJADO!L16-REALIZADO!O16)/REALIZADO!O16)+1*100)&gt;100,100,((PLANEJADO!L16-REALIZADO!O16)/REALIZADO!O16)+1*100))</f>
        <v>100</v>
      </c>
      <c r="I16" s="183">
        <f>(E16*0.2)+(F16*0.35)+(G16*0.3)+(H16*0.15)</f>
        <v>99.19</v>
      </c>
      <c r="J16" s="183">
        <f>REALIZADO!J16</f>
        <v>99.19</v>
      </c>
      <c r="K16" s="184">
        <f>IF(PLANEJADO!H16=0,0,IF((REALIZADO!I16/PLANEJADO!H16)*100&gt;100,100,(REALIZADO!I16/PLANEJADO!H16)*100))</f>
        <v>100</v>
      </c>
      <c r="L16" s="184">
        <f>IF(PLANEJADO!O16=0,0,IF((REALIZADO!R16/PLANEJADO!O16)*100&gt;100,100,(REALIZADO!R16/PLANEJADO!O16)*100))</f>
        <v>100</v>
      </c>
      <c r="M16" s="184">
        <f>IF(REALIZADO!Q16=0,0,IF((((PLANEJADO!L16-REALIZADO!O16)/REALIZADO!O16)+1*100)&gt;100,100,((PLANEJADO!N16-REALIZADO!Q16)/REALIZADO!Q16)+1*100))</f>
        <v>100</v>
      </c>
      <c r="N16" s="183">
        <f t="shared" ref="N16:N21" si="1">(J16*0.2)+(K16*0.35)+(L16*0.3)+(M16*0.15)</f>
        <v>99.837999999999994</v>
      </c>
      <c r="O16" s="183">
        <f t="shared" si="0"/>
        <v>99.513999999999996</v>
      </c>
      <c r="Q16" s="187"/>
      <c r="R16" s="187"/>
      <c r="S16" s="187"/>
    </row>
    <row r="17" spans="1:19" ht="39.75" thickTop="1" thickBot="1" x14ac:dyDescent="0.3">
      <c r="A17" s="279"/>
      <c r="B17" s="301"/>
      <c r="C17" s="181" t="s">
        <v>47</v>
      </c>
      <c r="D17" s="193" t="s">
        <v>48</v>
      </c>
      <c r="E17" s="183">
        <f>REALIZADO!G17</f>
        <v>99.18</v>
      </c>
      <c r="F17" s="184">
        <f>IF(PLANEJADO!G17=0,0,IF((REALIZADO!F17/PLANEJADO!G17)*100&gt;100,100,(REALIZADO!F17/PLANEJADO!G17)*100))</f>
        <v>100</v>
      </c>
      <c r="G17" s="184">
        <f>IF(PLANEJADO!M17=0,0,IF((REALIZADO!P17/PLANEJADO!M17)*100&gt;100,100,(REALIZADO!P17/PLANEJADO!M17)*100))</f>
        <v>100</v>
      </c>
      <c r="H17" s="184">
        <f>IF(REALIZADO!O17=0,0,IF((((PLANEJADO!L17-REALIZADO!O17)/REALIZADO!O17)+1*100)&gt;100,100,((PLANEJADO!L17-REALIZADO!O17)/REALIZADO!O17)+1*100))</f>
        <v>100</v>
      </c>
      <c r="I17" s="183">
        <f>(E17*0.2)+(F17*0.35)+(G17*0.3)+(H17*0.15)</f>
        <v>99.835999999999999</v>
      </c>
      <c r="J17" s="183">
        <f>REALIZADO!J17</f>
        <v>97.74</v>
      </c>
      <c r="K17" s="184">
        <f>IF(PLANEJADO!H17=0,0,IF((REALIZADO!I17/PLANEJADO!H17)*100&gt;100,100,(REALIZADO!I17/PLANEJADO!H17)*100))</f>
        <v>100</v>
      </c>
      <c r="L17" s="184">
        <f>IF(PLANEJADO!O17=0,0,IF((REALIZADO!R17/PLANEJADO!O17)*100&gt;100,100,(REALIZADO!R17/PLANEJADO!O17)*100))</f>
        <v>100</v>
      </c>
      <c r="M17" s="184">
        <f>IF(REALIZADO!Q17=0,0,IF((((PLANEJADO!L17-REALIZADO!O17)/REALIZADO!O17)+1*100)&gt;100,100,((PLANEJADO!N17-REALIZADO!Q17)/REALIZADO!Q17)+1*100))</f>
        <v>100</v>
      </c>
      <c r="N17" s="183">
        <f t="shared" si="1"/>
        <v>99.548000000000002</v>
      </c>
      <c r="O17" s="183">
        <f t="shared" si="0"/>
        <v>99.692000000000007</v>
      </c>
      <c r="Q17" s="187"/>
      <c r="R17" s="187"/>
      <c r="S17" s="187"/>
    </row>
    <row r="18" spans="1:19" ht="27.95" customHeight="1" thickTop="1" thickBot="1" x14ac:dyDescent="0.3">
      <c r="A18" s="279"/>
      <c r="B18" s="301"/>
      <c r="C18" s="181" t="s">
        <v>49</v>
      </c>
      <c r="D18" s="194" t="s">
        <v>50</v>
      </c>
      <c r="E18" s="183">
        <f>REALIZADO!G18</f>
        <v>98.29</v>
      </c>
      <c r="F18" s="184">
        <f>IF(PLANEJADO!G18=0,0,IF((REALIZADO!F18/PLANEJADO!G18)*100&gt;100,100,(REALIZADO!F18/PLANEJADO!G18)*100))</f>
        <v>100</v>
      </c>
      <c r="G18" s="184">
        <f>IF(PLANEJADO!M18=0,0,IF((REALIZADO!P18/PLANEJADO!M18)*100&gt;100,100,(REALIZADO!P18/PLANEJADO!M18)*100))</f>
        <v>100</v>
      </c>
      <c r="H18" s="184">
        <f>IF(REALIZADO!O18=0,0,IF((((PLANEJADO!L18-REALIZADO!O18)/REALIZADO!O18)+1*100)&gt;100,100,((PLANEJADO!L18-REALIZADO!O18)/REALIZADO!O18)+1*100))</f>
        <v>100</v>
      </c>
      <c r="I18" s="183">
        <f>(E18*0.2)+(F18*0.35)+(G18*0.3)+(H18*0.15)</f>
        <v>99.658000000000001</v>
      </c>
      <c r="J18" s="183">
        <f>REALIZADO!J18</f>
        <v>98.13</v>
      </c>
      <c r="K18" s="184">
        <f>IF(PLANEJADO!H18=0,0,IF((REALIZADO!I18/PLANEJADO!H18)*100&gt;100,100,(REALIZADO!I18/PLANEJADO!H18)*100))</f>
        <v>100</v>
      </c>
      <c r="L18" s="184">
        <f>IF(PLANEJADO!O18=0,0,IF((REALIZADO!R18/PLANEJADO!O18)*100&gt;100,100,(REALIZADO!R18/PLANEJADO!O18)*100))</f>
        <v>100</v>
      </c>
      <c r="M18" s="184">
        <f>IF(REALIZADO!Q18=0,0,IF((((PLANEJADO!L18-REALIZADO!O18)/REALIZADO!O18)+1*100)&gt;100,100,((PLANEJADO!N18-REALIZADO!Q18)/REALIZADO!Q18)+1*100))</f>
        <v>100</v>
      </c>
      <c r="N18" s="183">
        <f t="shared" si="1"/>
        <v>99.626000000000005</v>
      </c>
      <c r="O18" s="183">
        <f t="shared" si="0"/>
        <v>99.641999999999996</v>
      </c>
      <c r="Q18" s="187"/>
      <c r="R18" s="187"/>
      <c r="S18" s="187"/>
    </row>
    <row r="19" spans="1:19" ht="27.95" customHeight="1" thickTop="1" thickBot="1" x14ac:dyDescent="0.3">
      <c r="A19" s="280"/>
      <c r="B19" s="302"/>
      <c r="C19" s="181" t="s">
        <v>51</v>
      </c>
      <c r="D19" s="194" t="s">
        <v>52</v>
      </c>
      <c r="E19" s="263"/>
      <c r="F19" s="264"/>
      <c r="G19" s="264"/>
      <c r="H19" s="264"/>
      <c r="I19" s="263"/>
      <c r="J19" s="183">
        <f>REALIZADO!J19</f>
        <v>98.15</v>
      </c>
      <c r="K19" s="184">
        <f>IF(PLANEJADO!H19=0,0,IF((REALIZADO!I19/PLANEJADO!H19)*100&gt;100,100,(REALIZADO!I19/PLANEJADO!H19)*100))</f>
        <v>100</v>
      </c>
      <c r="L19" s="184">
        <f>IF(PLANEJADO!O19=0,0,IF((REALIZADO!R19/PLANEJADO!O19)*100&gt;100,100,(REALIZADO!R19/PLANEJADO!O19)*100))</f>
        <v>100</v>
      </c>
      <c r="M19" s="184">
        <f>IF(REALIZADO!Q19=0,0,IF((((PLANEJADO!L19-REALIZADO!O19)/REALIZADO!O19)+1*100)&gt;100,100,((PLANEJADO!N19-REALIZADO!Q19)/REALIZADO!Q19)+1*100))</f>
        <v>107.7927835810052</v>
      </c>
      <c r="N19" s="183">
        <f t="shared" si="1"/>
        <v>100.79891753715077</v>
      </c>
      <c r="O19" s="183">
        <f>(I19+N19)/1</f>
        <v>100.79891753715077</v>
      </c>
      <c r="Q19" s="196"/>
      <c r="R19" s="187"/>
      <c r="S19" s="187"/>
    </row>
    <row r="20" spans="1:19" ht="35.1" customHeight="1" thickTop="1" thickBot="1" x14ac:dyDescent="0.3">
      <c r="A20" s="197" t="s">
        <v>53</v>
      </c>
      <c r="B20" s="192" t="s">
        <v>54</v>
      </c>
      <c r="C20" s="181" t="s">
        <v>55</v>
      </c>
      <c r="D20" s="182" t="s">
        <v>56</v>
      </c>
      <c r="E20" s="183">
        <f>REALIZADO!G20</f>
        <v>98.8</v>
      </c>
      <c r="F20" s="184">
        <f>IF(PLANEJADO!G20=0,0,IF((REALIZADO!F20/PLANEJADO!G20)*100&gt;100,100,(REALIZADO!F20/PLANEJADO!G20)*100))</f>
        <v>43.429951690821255</v>
      </c>
      <c r="G20" s="184">
        <f>IF(PLANEJADO!M20=0,0,IF((REALIZADO!P20/PLANEJADO!M20)*100&gt;100,100,(REALIZADO!P20/PLANEJADO!M20)*100))</f>
        <v>58.810741172540546</v>
      </c>
      <c r="H20" s="184">
        <f>IF(REALIZADO!O20=0,0,IF((((PLANEJADO!L20-REALIZADO!O20)/REALIZADO!O20)+1*100)&gt;100,100,((PLANEJADO!L20-REALIZADO!O20)/REALIZADO!O20)+1*100))</f>
        <v>99.588107411725403</v>
      </c>
      <c r="I20" s="183">
        <f>(E20*0.2)+(F20*0.35)+(G20*0.3)+(H20*0.15)</f>
        <v>67.541921555308406</v>
      </c>
      <c r="J20" s="183">
        <f>REALIZADO!J20</f>
        <v>98.48</v>
      </c>
      <c r="K20" s="184">
        <f>IF(PLANEJADO!H20=0,0,IF((REALIZADO!I20/PLANEJADO!H20)*100&gt;100,100,(REALIZADO!I20/PLANEJADO!H20)*100))</f>
        <v>45.70048309178744</v>
      </c>
      <c r="L20" s="184">
        <f>IF(PLANEJADO!O20=0,0,IF((REALIZADO!R20/PLANEJADO!O20)*100&gt;100,100,(REALIZADO!R20/PLANEJADO!O20)*100))</f>
        <v>61.897134457388489</v>
      </c>
      <c r="M20" s="184">
        <f>IF(REALIZADO!Q20=0,0,IF((((PLANEJADO!L20-REALIZADO!O20)/REALIZADO!O20)+1*100)&gt;100,100,((PLANEJADO!N20-REALIZADO!Q20)/REALIZADO!Q20)+1*100))</f>
        <v>99.618971344573879</v>
      </c>
      <c r="N20" s="183">
        <f t="shared" si="1"/>
        <v>69.203155121028232</v>
      </c>
      <c r="O20" s="183">
        <f t="shared" si="0"/>
        <v>68.372538338168312</v>
      </c>
      <c r="Q20" s="187"/>
      <c r="R20" s="187"/>
      <c r="S20" s="187"/>
    </row>
    <row r="21" spans="1:19" ht="34.5" customHeight="1" thickTop="1" thickBot="1" x14ac:dyDescent="0.3">
      <c r="A21" s="197" t="s">
        <v>57</v>
      </c>
      <c r="B21" s="192" t="s">
        <v>58</v>
      </c>
      <c r="C21" s="181" t="s">
        <v>59</v>
      </c>
      <c r="D21" s="182" t="s">
        <v>60</v>
      </c>
      <c r="E21" s="183">
        <f>REALIZADO!G21</f>
        <v>79.33</v>
      </c>
      <c r="F21" s="184">
        <f>IF(PLANEJADO!G21=0,0,IF((REALIZADO!F21/PLANEJADO!G21)*100&gt;100,100,(REALIZADO!F21/PLANEJADO!G21)*100))</f>
        <v>98.574296637909754</v>
      </c>
      <c r="G21" s="184">
        <f>IF(PLANEJADO!M21=0,0,IF((REALIZADO!P21/PLANEJADO!M21)*100&gt;100,100,(REALIZADO!P21/PLANEJADO!M21)*100))</f>
        <v>100</v>
      </c>
      <c r="H21" s="184">
        <f>IF(REALIZADO!O21=0,0,IF((((PLANEJADO!L21-REALIZADO!O21)/REALIZADO!O21)+1*100)&gt;100,100,((PLANEJADO!L21-REALIZADO!O21)/REALIZADO!O21)+1*100))</f>
        <v>100</v>
      </c>
      <c r="I21" s="183">
        <f>(E21*0.2)+(F21*0.35)+(G21*0.3)+(H21*0.15)</f>
        <v>95.367003823268419</v>
      </c>
      <c r="J21" s="183">
        <f>REALIZADO!J21</f>
        <v>89.39</v>
      </c>
      <c r="K21" s="184">
        <f>IF(PLANEJADO!H21=0,0,IF((REALIZADO!I21/PLANEJADO!H21)*100&gt;100,100,(REALIZADO!I21/PLANEJADO!H21)*100))</f>
        <v>100</v>
      </c>
      <c r="L21" s="184">
        <f>IF(PLANEJADO!O21=0,0,IF((REALIZADO!R21/PLANEJADO!O21)*100&gt;100,100,(REALIZADO!R21/PLANEJADO!O21)*100))</f>
        <v>100</v>
      </c>
      <c r="M21" s="184">
        <f>IF(REALIZADO!Q21=0,0,IF((((PLANEJADO!L21-REALIZADO!O21)/REALIZADO!O21)+1*100)&gt;100,100,((PLANEJADO!N21-REALIZADO!Q21)/REALIZADO!Q21)+1*100))</f>
        <v>100</v>
      </c>
      <c r="N21" s="183">
        <f t="shared" si="1"/>
        <v>97.878</v>
      </c>
      <c r="O21" s="183">
        <f t="shared" si="0"/>
        <v>96.622501911634203</v>
      </c>
      <c r="Q21" s="187"/>
      <c r="R21" s="187"/>
      <c r="S21" s="187"/>
    </row>
    <row r="22" spans="1:19" ht="30" customHeight="1" thickTop="1" thickBot="1" x14ac:dyDescent="0.3">
      <c r="A22" s="343" t="s">
        <v>128</v>
      </c>
      <c r="B22" s="343"/>
      <c r="C22" s="343"/>
      <c r="D22" s="343"/>
      <c r="E22" s="190">
        <f>(SUM(E16:E21))/5</f>
        <v>94.31</v>
      </c>
      <c r="F22" s="190">
        <f>(SUM(F16:F21))/5</f>
        <v>88.400849665746208</v>
      </c>
      <c r="G22" s="190">
        <f>(SUM(G16:G21))/5</f>
        <v>91.762148234508103</v>
      </c>
      <c r="H22" s="190">
        <f>(SUM(H16:H21))/5</f>
        <v>99.917621482345083</v>
      </c>
      <c r="I22" s="190">
        <f>IF((SUM(I16:I21))/5&gt;100,10,INT(SUM(I16:I21))/50)</f>
        <v>9.2200000000000006</v>
      </c>
      <c r="J22" s="190">
        <f>(SUM(J16:J21))/6</f>
        <v>96.846666666666678</v>
      </c>
      <c r="K22" s="190">
        <f>(SUM(K16:K21))/6</f>
        <v>90.950080515297898</v>
      </c>
      <c r="L22" s="190">
        <f>(SUM(L16:L21))/6</f>
        <v>93.649522409564739</v>
      </c>
      <c r="M22" s="190">
        <f>(SUM(M16:M21))/6</f>
        <v>101.23529248759651</v>
      </c>
      <c r="N22" s="190">
        <f>IF((SUM(N16:N21))/6&gt;100,10,INT((SUM(N16:N21))/60))</f>
        <v>9</v>
      </c>
      <c r="O22" s="190">
        <f>(I22+N22)/2</f>
        <v>9.11</v>
      </c>
      <c r="Q22" s="187"/>
      <c r="R22" s="187"/>
      <c r="S22" s="187"/>
    </row>
    <row r="23" spans="1:19" ht="30" customHeight="1" thickTop="1" thickBot="1" x14ac:dyDescent="0.3">
      <c r="A23" s="278" t="s">
        <v>62</v>
      </c>
      <c r="B23" s="277" t="s">
        <v>44</v>
      </c>
      <c r="C23" s="197" t="s">
        <v>63</v>
      </c>
      <c r="D23" s="192" t="s">
        <v>64</v>
      </c>
      <c r="E23" s="183">
        <f>REALIZADO!G23</f>
        <v>99.13</v>
      </c>
      <c r="F23" s="184">
        <f>IF(PLANEJADO!G23=0,0,IF((REALIZADO!F23/PLANEJADO!G23)*100&gt;100,100,(REALIZADO!F23/PLANEJADO!G23)*100))</f>
        <v>100</v>
      </c>
      <c r="G23" s="184">
        <f>IF(PLANEJADO!M23=0,0,IF((REALIZADO!P23/PLANEJADO!M23)*100&gt;100,100,(REALIZADO!P23/PLANEJADO!M23)*100))</f>
        <v>100</v>
      </c>
      <c r="H23" s="184">
        <f>IF(REALIZADO!O23=0,0,IF((((PLANEJADO!L23-REALIZADO!O23)/REALIZADO!O23)+1*100)&gt;100,100,((PLANEJADO!L23-REALIZADO!O23)/REALIZADO!O23)+1*100))</f>
        <v>100</v>
      </c>
      <c r="I23" s="183">
        <f>(E23*0.2)+(F23*0.35)+(G23*0.3)+(H23*0.15)</f>
        <v>99.825999999999993</v>
      </c>
      <c r="J23" s="183">
        <f>REALIZADO!J23</f>
        <v>100</v>
      </c>
      <c r="K23" s="184">
        <f>IF(PLANEJADO!H23=0,0,IF((REALIZADO!I23/PLANEJADO!H23)*100&gt;100,100,(REALIZADO!I23/PLANEJADO!H23)*100))</f>
        <v>100</v>
      </c>
      <c r="L23" s="184">
        <f>IF(PLANEJADO!O23=0,0,IF((REALIZADO!R23/PLANEJADO!O23)*100&gt;100,100,(REALIZADO!R23/PLANEJADO!O23)*100))</f>
        <v>100</v>
      </c>
      <c r="M23" s="184">
        <f>IF(REALIZADO!Q23=0,0,IF((((PLANEJADO!L23-REALIZADO!O23)/REALIZADO!O23)+1*100)&gt;100,100,((PLANEJADO!N23-REALIZADO!Q23)/REALIZADO!Q23)+1*100))</f>
        <v>100</v>
      </c>
      <c r="N23" s="183">
        <f>(J23*0.2)+(K23*0.35)+(L23*0.3)+(M23*0.15)</f>
        <v>100</v>
      </c>
      <c r="O23" s="183">
        <f t="shared" si="0"/>
        <v>99.912999999999997</v>
      </c>
      <c r="Q23" s="187"/>
      <c r="R23" s="187"/>
      <c r="S23" s="187"/>
    </row>
    <row r="24" spans="1:19" ht="30" customHeight="1" thickTop="1" thickBot="1" x14ac:dyDescent="0.3">
      <c r="A24" s="279"/>
      <c r="B24" s="277"/>
      <c r="C24" s="197" t="s">
        <v>65</v>
      </c>
      <c r="D24" s="192" t="s">
        <v>66</v>
      </c>
      <c r="E24" s="183">
        <f>REALIZADO!G24</f>
        <v>98.29</v>
      </c>
      <c r="F24" s="184">
        <f>IF(PLANEJADO!G24=0,0,IF((REALIZADO!F24/PLANEJADO!G24)*100&gt;100,100,(REALIZADO!F24/PLANEJADO!G24)*100))</f>
        <v>100</v>
      </c>
      <c r="G24" s="184">
        <f>IF(PLANEJADO!M24=0,0,IF((REALIZADO!P24/PLANEJADO!M24)*100&gt;100,100,(REALIZADO!P24/PLANEJADO!M24)*100))</f>
        <v>100</v>
      </c>
      <c r="H24" s="184">
        <f>IF(REALIZADO!O24=0,0,IF((((PLANEJADO!L24-REALIZADO!O24)/REALIZADO!O24)+1*100)&gt;100,100,((PLANEJADO!L24-REALIZADO!O24)/REALIZADO!O24)+1*100))</f>
        <v>100</v>
      </c>
      <c r="I24" s="183">
        <f>(E24*0.2)+(F24*0.35)+(G24*0.3)+(H24*0.15)</f>
        <v>99.658000000000001</v>
      </c>
      <c r="J24" s="183">
        <f>REALIZADO!J24</f>
        <v>97.41</v>
      </c>
      <c r="K24" s="184">
        <f>IF(PLANEJADO!H24=0,0,IF((REALIZADO!I24/PLANEJADO!H24)*100&gt;100,100,(REALIZADO!I24/PLANEJADO!H24)*100))</f>
        <v>100</v>
      </c>
      <c r="L24" s="184">
        <f>IF(PLANEJADO!O24=0,0,IF((REALIZADO!R24/PLANEJADO!O24)*100&gt;100,100,(REALIZADO!R24/PLANEJADO!O24)*100))</f>
        <v>100</v>
      </c>
      <c r="M24" s="184">
        <f>IF(REALIZADO!Q24=0,0,IF((((PLANEJADO!L24-REALIZADO!O24)/REALIZADO!O24)+1*100)&gt;100,100,((PLANEJADO!N24-REALIZADO!Q24)/REALIZADO!Q24)+1*100))</f>
        <v>100</v>
      </c>
      <c r="N24" s="183">
        <f>(J24*0.2)+(K24*0.35)+(L24*0.3)+(M24*0.15)</f>
        <v>99.481999999999999</v>
      </c>
      <c r="O24" s="183">
        <f t="shared" si="0"/>
        <v>99.57</v>
      </c>
      <c r="Q24" s="187"/>
      <c r="R24" s="187"/>
      <c r="S24" s="187"/>
    </row>
    <row r="25" spans="1:19" ht="30" customHeight="1" thickTop="1" thickBot="1" x14ac:dyDescent="0.3">
      <c r="A25" s="280"/>
      <c r="B25" s="277"/>
      <c r="C25" s="197" t="s">
        <v>67</v>
      </c>
      <c r="D25" s="192" t="s">
        <v>68</v>
      </c>
      <c r="E25" s="183">
        <f>REALIZADO!G25</f>
        <v>99.12</v>
      </c>
      <c r="F25" s="184">
        <f>IF(PLANEJADO!G25=0,0,IF((REALIZADO!F25/PLANEJADO!G25)*100&gt;100,100,(REALIZADO!F25/PLANEJADO!G25)*100))</f>
        <v>100</v>
      </c>
      <c r="G25" s="184">
        <f>IF(PLANEJADO!M25=0,0,IF((REALIZADO!P25/PLANEJADO!M25)*100&gt;100,100,(REALIZADO!P25/PLANEJADO!M25)*100))</f>
        <v>100</v>
      </c>
      <c r="H25" s="184">
        <f>IF(REALIZADO!O25=0,0,IF((((PLANEJADO!L25-REALIZADO!O25)/REALIZADO!O25)+1*100)&gt;100,100,((PLANEJADO!L25-REALIZADO!O25)/REALIZADO!O25)+1*100))</f>
        <v>100</v>
      </c>
      <c r="I25" s="183">
        <f>(E25*0.2)+(F25*0.35)+(G25*0.3)+(H25*0.15)</f>
        <v>99.823999999999998</v>
      </c>
      <c r="J25" s="183">
        <f>REALIZADO!J25</f>
        <v>98.32</v>
      </c>
      <c r="K25" s="184">
        <f>IF(PLANEJADO!H25=0,0,IF((REALIZADO!I25/PLANEJADO!H25)*100&gt;100,100,(REALIZADO!I25/PLANEJADO!H25)*100))</f>
        <v>100</v>
      </c>
      <c r="L25" s="184">
        <f>IF(PLANEJADO!O25=0,0,IF((REALIZADO!R25/PLANEJADO!O25)*100&gt;100,100,(REALIZADO!R25/PLANEJADO!O25)*100))</f>
        <v>100</v>
      </c>
      <c r="M25" s="184">
        <f>IF(REALIZADO!Q25=0,0,IF((((PLANEJADO!L25-REALIZADO!O25)/REALIZADO!O25)+1*100)&gt;100,100,((PLANEJADO!N25-REALIZADO!Q25)/REALIZADO!Q25)+1*100))</f>
        <v>100</v>
      </c>
      <c r="N25" s="183">
        <f>(J25*0.2)+(K25*0.35)+(L25*0.3)+(M25*0.15)</f>
        <v>99.664000000000001</v>
      </c>
      <c r="O25" s="183">
        <f t="shared" si="0"/>
        <v>99.744</v>
      </c>
      <c r="Q25" s="187"/>
      <c r="R25" s="187"/>
      <c r="S25" s="187"/>
    </row>
    <row r="26" spans="1:19" ht="30" customHeight="1" thickTop="1" thickBot="1" x14ac:dyDescent="0.3">
      <c r="A26" s="345" t="s">
        <v>69</v>
      </c>
      <c r="B26" s="346" t="s">
        <v>70</v>
      </c>
      <c r="C26" s="197" t="s">
        <v>71</v>
      </c>
      <c r="D26" s="193" t="s">
        <v>72</v>
      </c>
      <c r="E26" s="263"/>
      <c r="F26" s="264"/>
      <c r="G26" s="264"/>
      <c r="H26" s="264"/>
      <c r="I26" s="264"/>
      <c r="J26" s="183">
        <f>REALIZADO!J26</f>
        <v>0</v>
      </c>
      <c r="K26" s="184">
        <f>IF(PLANEJADO!H26=0,0,IF((REALIZADO!I26/PLANEJADO!H26)*100&gt;100,100,(REALIZADO!I26/PLANEJADO!H26)*100))</f>
        <v>0</v>
      </c>
      <c r="L26" s="184">
        <f>IF(PLANEJADO!O26=0,0,IF((REALIZADO!R26/PLANEJADO!O26)*100&gt;100,100,(REALIZADO!R26/PLANEJADO!O26)*100))</f>
        <v>0</v>
      </c>
      <c r="M26" s="184">
        <f>IF(REALIZADO!Q26=0,0,IF((((PLANEJADO!L26-REALIZADO!O26)/REALIZADO!O26)+1*100)&gt;100,100,((PLANEJADO!N26-REALIZADO!Q26)/REALIZADO!Q26)+1*100))</f>
        <v>0</v>
      </c>
      <c r="N26" s="183">
        <f>(J26*0.2)+(K26*0.35)+(L26*0.3)+(M26*0.15)</f>
        <v>0</v>
      </c>
      <c r="O26" s="184">
        <f>(I26+N26)/1</f>
        <v>0</v>
      </c>
      <c r="Q26" s="187"/>
      <c r="R26" s="187"/>
      <c r="S26" s="187"/>
    </row>
    <row r="27" spans="1:19" ht="30" customHeight="1" thickTop="1" thickBot="1" x14ac:dyDescent="0.3">
      <c r="A27" s="345"/>
      <c r="B27" s="346"/>
      <c r="C27" s="197" t="s">
        <v>73</v>
      </c>
      <c r="D27" s="193" t="s">
        <v>74</v>
      </c>
      <c r="E27" s="183">
        <f>REALIZADO!G27</f>
        <v>0</v>
      </c>
      <c r="F27" s="184">
        <f>IF(PLANEJADO!G27=0,0,IF((REALIZADO!F27/PLANEJADO!G27)*100&gt;100,100,(REALIZADO!F27/PLANEJADO!G27)*100))</f>
        <v>0</v>
      </c>
      <c r="G27" s="184">
        <f>IF(PLANEJADO!M27=0,0,IF((REALIZADO!P27/PLANEJADO!M27)*100&gt;100,100,(REALIZADO!P27/PLANEJADO!M27)*100))</f>
        <v>0</v>
      </c>
      <c r="H27" s="184">
        <f>IF(REALIZADO!O27=0,0,IF((((PLANEJADO!L27-REALIZADO!O27)/REALIZADO!O27)+1*100)&gt;100,100,((PLANEJADO!L27-REALIZADO!O27)/REALIZADO!O27)+1*100))</f>
        <v>0</v>
      </c>
      <c r="I27" s="183">
        <f>(E27*0.2)+(F27*0.35)+(G27*0.3)+(H27*0.15)</f>
        <v>0</v>
      </c>
      <c r="J27" s="263"/>
      <c r="K27" s="264"/>
      <c r="L27" s="264"/>
      <c r="M27" s="264"/>
      <c r="N27" s="264"/>
      <c r="O27" s="184">
        <f>(I27+N27)/1</f>
        <v>0</v>
      </c>
      <c r="Q27" s="187"/>
      <c r="R27" s="187"/>
      <c r="S27" s="187"/>
    </row>
    <row r="28" spans="1:19" ht="30" customHeight="1" thickTop="1" thickBot="1" x14ac:dyDescent="0.3">
      <c r="A28" s="345"/>
      <c r="B28" s="346"/>
      <c r="C28" s="197" t="s">
        <v>75</v>
      </c>
      <c r="D28" s="188" t="s">
        <v>129</v>
      </c>
      <c r="E28" s="183">
        <f>REALIZADO!G28</f>
        <v>90.8</v>
      </c>
      <c r="F28" s="184">
        <f>IF(PLANEJADO!G28=0,0,IF((REALIZADO!F28/PLANEJADO!G28)*100&gt;100,100,(REALIZADO!F28/PLANEJADO!G28)*100))</f>
        <v>100</v>
      </c>
      <c r="G28" s="184">
        <f>IF(PLANEJADO!M28=0,0,IF((REALIZADO!P28/PLANEJADO!M28)*100&gt;100,100,(REALIZADO!P28/PLANEJADO!M28)*100))</f>
        <v>100</v>
      </c>
      <c r="H28" s="184">
        <f>IF(REALIZADO!O28=0,0,IF((((PLANEJADO!L28-REALIZADO!O28)/REALIZADO!O28)+1*100)&gt;100,100,((PLANEJADO!L28-REALIZADO!O28)/REALIZADO!O28)+1*100))</f>
        <v>100</v>
      </c>
      <c r="I28" s="183">
        <f>(E28*0.2)+(F28*0.35)+(G28*0.3)+(H28*0.15)</f>
        <v>98.16</v>
      </c>
      <c r="J28" s="263"/>
      <c r="K28" s="264"/>
      <c r="L28" s="264"/>
      <c r="M28" s="264"/>
      <c r="N28" s="264"/>
      <c r="O28" s="198">
        <f>(I28+N28)/1</f>
        <v>98.16</v>
      </c>
      <c r="Q28" s="187"/>
      <c r="R28" s="187"/>
      <c r="S28" s="187"/>
    </row>
    <row r="29" spans="1:19" ht="30" customHeight="1" thickTop="1" thickBot="1" x14ac:dyDescent="0.3">
      <c r="A29" s="345"/>
      <c r="B29" s="346"/>
      <c r="C29" s="197" t="s">
        <v>77</v>
      </c>
      <c r="D29" s="182" t="s">
        <v>130</v>
      </c>
      <c r="E29" s="183">
        <f>REALIZADO!G29</f>
        <v>89.4</v>
      </c>
      <c r="F29" s="184">
        <f>IF(PLANEJADO!G29=0,0,IF((REALIZADO!F29/PLANEJADO!G29)*100&gt;100,100,(REALIZADO!F29/PLANEJADO!G29)*100))</f>
        <v>60.166666666666671</v>
      </c>
      <c r="G29" s="184">
        <f>IF(PLANEJADO!M29=0,0,IF((REALIZADO!P29/PLANEJADO!M29)*100&gt;100,100,(REALIZADO!P29/PLANEJADO!M29)*100))</f>
        <v>71.797182881008197</v>
      </c>
      <c r="H29" s="184">
        <f>IF(REALIZADO!O29=0,0,IF((((PLANEJADO!L29-REALIZADO!O29)/REALIZADO!O29)+1*100)&gt;100,100,((PLANEJADO!L29-REALIZADO!O29)/REALIZADO!O29)+1*100))</f>
        <v>99.717971828810079</v>
      </c>
      <c r="I29" s="183">
        <f>(E29*0.2)+(F29*0.35)+(G29*0.3)+(H29*0.15)</f>
        <v>75.435183971957301</v>
      </c>
      <c r="J29" s="263"/>
      <c r="K29" s="264"/>
      <c r="L29" s="264"/>
      <c r="M29" s="264"/>
      <c r="N29" s="264"/>
      <c r="O29" s="198">
        <f>(I29+N29)/1</f>
        <v>75.435183971957301</v>
      </c>
      <c r="P29" s="187"/>
      <c r="Q29" s="187"/>
      <c r="R29" s="187"/>
      <c r="S29" s="187"/>
    </row>
    <row r="30" spans="1:19" ht="34.5" customHeight="1" thickTop="1" thickBot="1" x14ac:dyDescent="0.3">
      <c r="A30" s="197" t="s">
        <v>79</v>
      </c>
      <c r="B30" s="182" t="s">
        <v>80</v>
      </c>
      <c r="C30" s="197" t="s">
        <v>81</v>
      </c>
      <c r="D30" s="182" t="s">
        <v>82</v>
      </c>
      <c r="E30" s="183">
        <f>REALIZADO!G30</f>
        <v>100</v>
      </c>
      <c r="F30" s="184">
        <f>IF(PLANEJADO!G30=0,0,IF((REALIZADO!F30/PLANEJADO!G30)*100&gt;100,100,(REALIZADO!F30/PLANEJADO!G30)*100))</f>
        <v>100</v>
      </c>
      <c r="G30" s="184">
        <f>IF(PLANEJADO!M30=0,0,IF((REALIZADO!P30/PLANEJADO!M30)*100&gt;100,100,(REALIZADO!P30/PLANEJADO!M30)*100))</f>
        <v>100</v>
      </c>
      <c r="H30" s="184">
        <f>IF(REALIZADO!O30=0,0,IF((((PLANEJADO!L30-REALIZADO!O30)/REALIZADO!O30)+1*100)&gt;100,100,((PLANEJADO!L30-REALIZADO!O30)/REALIZADO!O30)+1*100))</f>
        <v>100</v>
      </c>
      <c r="I30" s="183">
        <f>(E30*0.2)+(F30*0.35)+(G30*0.3)+(H30*0.15)</f>
        <v>100</v>
      </c>
      <c r="J30" s="183">
        <f>REALIZADO!J30</f>
        <v>98.13</v>
      </c>
      <c r="K30" s="184">
        <f>IF(PLANEJADO!H30=0,0,IF((REALIZADO!I30/PLANEJADO!H30)*100&gt;100,100,(REALIZADO!I30/PLANEJADO!H30)*100))</f>
        <v>100</v>
      </c>
      <c r="L30" s="184">
        <f>IF(PLANEJADO!O30=0,0,IF((REALIZADO!R30/PLANEJADO!O30)*100&gt;100,100,(REALIZADO!R30/PLANEJADO!O30)*100))</f>
        <v>100</v>
      </c>
      <c r="M30" s="184">
        <f>IF(REALIZADO!Q30=0,0,IF((((PLANEJADO!L30-REALIZADO!O30)/REALIZADO!O30)+1*100)&gt;100,100,((PLANEJADO!N30-REALIZADO!Q30)/REALIZADO!Q30)+1*100))</f>
        <v>100</v>
      </c>
      <c r="N30" s="183">
        <f>(J30*0.2)+(K30*0.35)+(L30*0.3)+(M30*0.15)</f>
        <v>99.626000000000005</v>
      </c>
      <c r="O30" s="195">
        <f>(I30+N30)/2</f>
        <v>99.813000000000002</v>
      </c>
      <c r="P30" s="187"/>
      <c r="Q30" s="187"/>
      <c r="R30" s="187"/>
      <c r="S30" s="187"/>
    </row>
    <row r="31" spans="1:19" ht="30" customHeight="1" thickTop="1" thickBot="1" x14ac:dyDescent="0.3">
      <c r="A31" s="343" t="s">
        <v>131</v>
      </c>
      <c r="B31" s="343"/>
      <c r="C31" s="343"/>
      <c r="D31" s="343"/>
      <c r="E31" s="190">
        <f>(E23+E24+E25+E27+E28+E29+E30)/6</f>
        <v>96.123333333333335</v>
      </c>
      <c r="F31" s="190">
        <f>(F23+F24+F25+F27+F28+F29+F30)/6</f>
        <v>93.361111111111128</v>
      </c>
      <c r="G31" s="190">
        <f>(G23+G24+G25+G27+G28+G29+G30)/6</f>
        <v>95.299530480168031</v>
      </c>
      <c r="H31" s="190">
        <f>(H23+H24+H25+H27+H28+H29+H30)/6</f>
        <v>99.952995304801675</v>
      </c>
      <c r="I31" s="190">
        <f>IF((I23+I24+I25+I28+I29+I30)/6&gt;100,10,INT((I23+I24+I25+I28+I29+I30)/60))</f>
        <v>9</v>
      </c>
      <c r="J31" s="190">
        <f>(J23+J24+J25+J26+J30)/4</f>
        <v>98.465000000000003</v>
      </c>
      <c r="K31" s="190">
        <f>(K23+K24+K25+K26+K30)/4</f>
        <v>100</v>
      </c>
      <c r="L31" s="190">
        <f>(L23+L24+L25+L26+L30)/4</f>
        <v>100</v>
      </c>
      <c r="M31" s="190">
        <f>(M23+M24+M25+M26+M30)/4</f>
        <v>100</v>
      </c>
      <c r="N31" s="190">
        <f>IF((N23+N24+N25+N30)/4&gt;100,10,INT((N23+N24+N25+N30)/40))</f>
        <v>9</v>
      </c>
      <c r="O31" s="190">
        <f>(I31+N31)/2</f>
        <v>9</v>
      </c>
      <c r="P31" s="187"/>
      <c r="Q31" s="187"/>
      <c r="R31" s="187"/>
      <c r="S31" s="187"/>
    </row>
    <row r="32" spans="1:19" ht="50.1" customHeight="1" thickTop="1" thickBot="1" x14ac:dyDescent="0.25">
      <c r="A32" s="140" t="s">
        <v>84</v>
      </c>
      <c r="B32" s="128" t="s">
        <v>85</v>
      </c>
      <c r="C32" s="197" t="s">
        <v>86</v>
      </c>
      <c r="D32" s="193" t="s">
        <v>87</v>
      </c>
      <c r="E32" s="183">
        <f>REALIZADO!G32</f>
        <v>99.05</v>
      </c>
      <c r="F32" s="184">
        <f>IF(PLANEJADO!G32=0,0,IF((REALIZADO!F32/PLANEJADO!G32)*100&gt;100,100,(REALIZADO!F32/PLANEJADO!G32)*100))</f>
        <v>100</v>
      </c>
      <c r="G32" s="184">
        <f>IF(PLANEJADO!M32=0,0,IF((REALIZADO!P32/PLANEJADO!M32)*100&gt;100,100,(REALIZADO!P32/PLANEJADO!M32)*100))</f>
        <v>100</v>
      </c>
      <c r="H32" s="184">
        <f>IF(REALIZADO!O32=0,0,IF((((PLANEJADO!L32-REALIZADO!O32)/REALIZADO!O32)+1*100)&gt;100,100,((PLANEJADO!L32-REALIZADO!O32)/REALIZADO!O32)+1*100))</f>
        <v>100</v>
      </c>
      <c r="I32" s="183">
        <f>(E32*0.2)+(F32*0.35)+(G32*0.3)+(H32*0.15)</f>
        <v>99.81</v>
      </c>
      <c r="J32" s="183">
        <f>REALIZADO!J32</f>
        <v>99.61</v>
      </c>
      <c r="K32" s="184">
        <f>IF(PLANEJADO!H32=0,0,IF((REALIZADO!I32/PLANEJADO!H32)*100&gt;100,100,(REALIZADO!I32/PLANEJADO!H32)*100))</f>
        <v>83.518433179723502</v>
      </c>
      <c r="L32" s="184">
        <f>IF(PLANEJADO!O32=0,0,IF((REALIZADO!R32/PLANEJADO!O32)*100&gt;100,100,(REALIZADO!R32/PLANEJADO!O32)*100))</f>
        <v>100</v>
      </c>
      <c r="M32" s="184">
        <f>IF(REALIZADO!Q32=0,0,IF((((PLANEJADO!L32-REALIZADO!O32)/REALIZADO!O32)+1*100)&gt;100,100,((PLANEJADO!N32-REALIZADO!Q32)/REALIZADO!Q32)+1*100))</f>
        <v>100</v>
      </c>
      <c r="N32" s="183">
        <f>(J32*0.2)+(K32*0.35)+(L32*0.3)+(M32*0.15)</f>
        <v>94.153451612903226</v>
      </c>
      <c r="O32" s="183">
        <f t="shared" si="0"/>
        <v>96.981725806451607</v>
      </c>
      <c r="Q32" s="174"/>
      <c r="R32" s="174"/>
      <c r="S32" s="174"/>
    </row>
    <row r="33" spans="1:19" ht="30" customHeight="1" thickTop="1" thickBot="1" x14ac:dyDescent="0.25">
      <c r="A33" s="343" t="s">
        <v>132</v>
      </c>
      <c r="B33" s="343"/>
      <c r="C33" s="343"/>
      <c r="D33" s="343"/>
      <c r="E33" s="190">
        <f>E32</f>
        <v>99.05</v>
      </c>
      <c r="F33" s="190">
        <f>F32</f>
        <v>100</v>
      </c>
      <c r="G33" s="190">
        <f>G32</f>
        <v>100</v>
      </c>
      <c r="H33" s="190">
        <f>H32</f>
        <v>100</v>
      </c>
      <c r="I33" s="190">
        <f>IF(I32&gt;100,10,INT(I32)/10)</f>
        <v>9.9</v>
      </c>
      <c r="J33" s="190">
        <f>J32</f>
        <v>99.61</v>
      </c>
      <c r="K33" s="190">
        <f>K32</f>
        <v>83.518433179723502</v>
      </c>
      <c r="L33" s="190">
        <f>L32</f>
        <v>100</v>
      </c>
      <c r="M33" s="190">
        <f>M32</f>
        <v>100</v>
      </c>
      <c r="N33" s="190">
        <f>IF(N32&gt;100,10,INT(N32)/10)</f>
        <v>9.4</v>
      </c>
      <c r="O33" s="190">
        <f>(I33+N33)/2</f>
        <v>9.65</v>
      </c>
      <c r="Q33" s="174"/>
      <c r="R33" s="174"/>
      <c r="S33" s="174"/>
    </row>
    <row r="34" spans="1:19" ht="14.25" thickTop="1" thickBot="1" x14ac:dyDescent="0.25">
      <c r="Q34" s="174"/>
      <c r="R34" s="174"/>
      <c r="S34" s="174"/>
    </row>
    <row r="35" spans="1:19" ht="30" customHeight="1" thickTop="1" thickBot="1" x14ac:dyDescent="0.25">
      <c r="A35" s="344" t="s">
        <v>133</v>
      </c>
      <c r="B35" s="344"/>
      <c r="C35" s="344"/>
      <c r="D35" s="344"/>
      <c r="E35" s="203">
        <f>IF((E12+E15+E22+E31+E33)/5&gt;100,100,(E12+E15+E22+E31+E33)/5)</f>
        <v>77.037999999999997</v>
      </c>
      <c r="F35" s="203">
        <f t="shared" ref="F35:M35" si="2">(F12+F15+F22+F31+F33)/5</f>
        <v>87.149019139498449</v>
      </c>
      <c r="G35" s="203">
        <f t="shared" si="2"/>
        <v>94.461417171182092</v>
      </c>
      <c r="H35" s="203">
        <f t="shared" si="2"/>
        <v>99.944614171711834</v>
      </c>
      <c r="I35" s="203">
        <f t="shared" si="2"/>
        <v>9.0239999999999991</v>
      </c>
      <c r="J35" s="203">
        <f>(J12+J15+J22+J31+J33)/5</f>
        <v>77.884333333333345</v>
      </c>
      <c r="K35" s="203">
        <f t="shared" si="2"/>
        <v>84.491704999436308</v>
      </c>
      <c r="L35" s="203">
        <f t="shared" si="2"/>
        <v>94.873497524794601</v>
      </c>
      <c r="M35" s="203">
        <f t="shared" si="2"/>
        <v>100.20849442794812</v>
      </c>
      <c r="N35" s="203">
        <f>(N12+N15+N22+N31+N33)/5</f>
        <v>8.68</v>
      </c>
      <c r="O35" s="203">
        <f>(O12+O15+O22+O31+O33)/5</f>
        <v>8.8520000000000003</v>
      </c>
      <c r="Q35" s="174"/>
      <c r="R35" s="174"/>
      <c r="S35" s="174"/>
    </row>
    <row r="36" spans="1:19" ht="13.5" thickTop="1" x14ac:dyDescent="0.2">
      <c r="E36" s="174"/>
      <c r="F36" s="174"/>
      <c r="G36" s="174"/>
      <c r="H36" s="174"/>
      <c r="I36" s="174"/>
      <c r="J36" s="174"/>
      <c r="K36" s="174"/>
      <c r="L36" s="174"/>
      <c r="M36" s="174"/>
      <c r="N36" s="174"/>
      <c r="O36" s="174"/>
      <c r="Q36" s="174"/>
      <c r="R36" s="174"/>
      <c r="S36" s="174"/>
    </row>
    <row r="37" spans="1:19" ht="15" x14ac:dyDescent="0.2">
      <c r="A37" s="214" t="s">
        <v>89</v>
      </c>
      <c r="E37" s="174"/>
      <c r="F37" s="174"/>
      <c r="G37" s="174"/>
      <c r="H37" s="174"/>
      <c r="I37" s="174"/>
      <c r="J37" s="204"/>
      <c r="K37" s="174"/>
      <c r="L37" s="174"/>
      <c r="M37" s="174"/>
      <c r="N37" s="174"/>
      <c r="O37" s="174"/>
    </row>
    <row r="38" spans="1:19" x14ac:dyDescent="0.2">
      <c r="E38" s="174"/>
      <c r="F38" s="174"/>
      <c r="G38" s="174"/>
      <c r="H38" s="174"/>
      <c r="I38" s="174"/>
      <c r="J38" s="174"/>
      <c r="K38" s="174"/>
      <c r="L38" s="174"/>
      <c r="M38" s="174"/>
      <c r="N38" s="174"/>
      <c r="O38" s="174"/>
    </row>
    <row r="39" spans="1:19" x14ac:dyDescent="0.2">
      <c r="E39" s="174"/>
      <c r="F39" s="174"/>
      <c r="G39" s="174"/>
      <c r="H39" s="174"/>
      <c r="I39" s="174"/>
      <c r="J39" s="174"/>
      <c r="K39" s="174"/>
      <c r="L39" s="174"/>
      <c r="M39" s="174"/>
      <c r="N39" s="174"/>
      <c r="O39" s="174"/>
    </row>
    <row r="41" spans="1:19" x14ac:dyDescent="0.2">
      <c r="B41" s="149"/>
    </row>
    <row r="43" spans="1:19" ht="15.75" customHeight="1" x14ac:dyDescent="0.2">
      <c r="A43" s="342" t="s">
        <v>108</v>
      </c>
      <c r="B43" s="342"/>
      <c r="C43" s="342"/>
      <c r="D43" s="215"/>
      <c r="E43" s="342" t="s">
        <v>91</v>
      </c>
      <c r="F43" s="342"/>
      <c r="G43" s="342"/>
      <c r="H43" s="342"/>
      <c r="J43" s="364" t="s">
        <v>91</v>
      </c>
      <c r="K43" s="364"/>
      <c r="L43" s="364"/>
      <c r="M43" s="364"/>
      <c r="N43" s="364"/>
    </row>
    <row r="44" spans="1:19" ht="37.5" customHeight="1" x14ac:dyDescent="0.2">
      <c r="A44" s="363" t="s">
        <v>109</v>
      </c>
      <c r="B44" s="363"/>
      <c r="C44" s="363"/>
      <c r="D44" s="256"/>
      <c r="E44" s="341" t="s">
        <v>93</v>
      </c>
      <c r="F44" s="341"/>
      <c r="G44" s="341"/>
      <c r="H44" s="341"/>
      <c r="J44" s="312" t="s">
        <v>93</v>
      </c>
      <c r="K44" s="312"/>
      <c r="L44" s="312"/>
      <c r="M44" s="312"/>
      <c r="N44" s="312"/>
      <c r="O44" s="254"/>
    </row>
    <row r="45" spans="1:19" ht="15" x14ac:dyDescent="0.2">
      <c r="B45" s="215"/>
      <c r="C45" s="215"/>
      <c r="D45" s="216"/>
      <c r="E45" s="216"/>
      <c r="F45" s="217"/>
      <c r="G45" s="215"/>
      <c r="H45" s="218"/>
    </row>
    <row r="46" spans="1:19" ht="15" x14ac:dyDescent="0.2">
      <c r="B46" s="215"/>
      <c r="C46" s="215"/>
      <c r="D46" s="216"/>
      <c r="E46" s="216"/>
      <c r="F46" s="217"/>
      <c r="G46" s="215"/>
      <c r="H46" s="218"/>
    </row>
    <row r="47" spans="1:19" ht="15" x14ac:dyDescent="0.2">
      <c r="B47" s="215"/>
      <c r="C47" s="215"/>
      <c r="D47" s="216"/>
      <c r="E47" s="216"/>
      <c r="F47" s="217"/>
      <c r="G47" s="215"/>
      <c r="H47" s="218"/>
    </row>
    <row r="48" spans="1:19" ht="15" x14ac:dyDescent="0.2">
      <c r="A48" s="174"/>
      <c r="B48" s="215"/>
      <c r="C48" s="215"/>
      <c r="D48" s="216"/>
      <c r="E48" s="216"/>
      <c r="F48" s="217"/>
      <c r="G48" s="215"/>
      <c r="H48" s="218"/>
      <c r="I48" s="174"/>
      <c r="J48" s="174"/>
      <c r="K48" s="174"/>
      <c r="L48" s="174"/>
      <c r="M48" s="174"/>
      <c r="N48" s="174"/>
      <c r="O48" s="174"/>
      <c r="Q48" s="174"/>
      <c r="R48" s="174"/>
      <c r="S48" s="174"/>
    </row>
    <row r="49" spans="1:15" s="174" customFormat="1" ht="15" x14ac:dyDescent="0.2">
      <c r="B49" s="215"/>
      <c r="C49" s="215"/>
      <c r="D49" s="216"/>
      <c r="E49" s="216"/>
      <c r="F49" s="217"/>
      <c r="G49" s="215"/>
      <c r="H49" s="218"/>
    </row>
    <row r="50" spans="1:15" s="174" customFormat="1" ht="15" x14ac:dyDescent="0.2">
      <c r="B50" s="215"/>
      <c r="C50" s="215"/>
      <c r="D50" s="216"/>
      <c r="E50" s="216"/>
      <c r="F50" s="217"/>
      <c r="G50" s="215"/>
      <c r="H50" s="218"/>
    </row>
    <row r="51" spans="1:15" s="174" customFormat="1" ht="15.75" customHeight="1" x14ac:dyDescent="0.2">
      <c r="A51" s="342" t="s">
        <v>94</v>
      </c>
      <c r="B51" s="342"/>
      <c r="C51" s="342"/>
      <c r="D51" s="215"/>
      <c r="E51" s="342" t="s">
        <v>95</v>
      </c>
      <c r="F51" s="342"/>
      <c r="G51" s="342"/>
      <c r="H51" s="342"/>
      <c r="J51" s="311" t="s">
        <v>95</v>
      </c>
      <c r="K51" s="311"/>
      <c r="L51" s="311"/>
      <c r="M51" s="311"/>
      <c r="N51" s="311"/>
      <c r="O51" s="205"/>
    </row>
    <row r="52" spans="1:15" s="174" customFormat="1" ht="15" customHeight="1" x14ac:dyDescent="0.2">
      <c r="A52" s="341" t="s">
        <v>134</v>
      </c>
      <c r="B52" s="341"/>
      <c r="C52" s="341"/>
      <c r="D52" s="257"/>
      <c r="E52" s="341" t="s">
        <v>97</v>
      </c>
      <c r="F52" s="341"/>
      <c r="G52" s="341"/>
      <c r="H52" s="341"/>
      <c r="J52" s="312" t="s">
        <v>97</v>
      </c>
      <c r="K52" s="312"/>
      <c r="L52" s="312"/>
      <c r="M52" s="312"/>
      <c r="N52" s="312"/>
      <c r="O52" s="254"/>
    </row>
    <row r="53" spans="1:15" ht="12.75" customHeight="1" x14ac:dyDescent="0.2">
      <c r="B53" s="257"/>
      <c r="C53" s="257"/>
      <c r="D53" s="257"/>
      <c r="E53" s="341"/>
      <c r="F53" s="341"/>
      <c r="G53" s="341"/>
      <c r="H53" s="341"/>
    </row>
  </sheetData>
  <sheetProtection formatCells="0" formatColumns="0" formatRows="0" autoFilter="0"/>
  <mergeCells count="40">
    <mergeCell ref="A22:D22"/>
    <mergeCell ref="A31:D31"/>
    <mergeCell ref="C2:C3"/>
    <mergeCell ref="B4:B7"/>
    <mergeCell ref="A1:O1"/>
    <mergeCell ref="E52:H53"/>
    <mergeCell ref="J51:N51"/>
    <mergeCell ref="J52:N52"/>
    <mergeCell ref="A43:C43"/>
    <mergeCell ref="A44:C44"/>
    <mergeCell ref="A51:C51"/>
    <mergeCell ref="A52:C52"/>
    <mergeCell ref="J43:N43"/>
    <mergeCell ref="J44:N44"/>
    <mergeCell ref="E51:H51"/>
    <mergeCell ref="O2:O3"/>
    <mergeCell ref="A23:A25"/>
    <mergeCell ref="B23:B25"/>
    <mergeCell ref="A8:A9"/>
    <mergeCell ref="B8:B9"/>
    <mergeCell ref="W1:X1"/>
    <mergeCell ref="A16:A19"/>
    <mergeCell ref="B16:B19"/>
    <mergeCell ref="S2:S3"/>
    <mergeCell ref="Q2:Q3"/>
    <mergeCell ref="R2:R3"/>
    <mergeCell ref="J2:N2"/>
    <mergeCell ref="A12:D12"/>
    <mergeCell ref="A15:D15"/>
    <mergeCell ref="A4:A7"/>
    <mergeCell ref="D2:D3"/>
    <mergeCell ref="E2:I2"/>
    <mergeCell ref="A2:A3"/>
    <mergeCell ref="B2:B3"/>
    <mergeCell ref="E44:H44"/>
    <mergeCell ref="E43:H43"/>
    <mergeCell ref="A33:D33"/>
    <mergeCell ref="A35:D35"/>
    <mergeCell ref="A26:A29"/>
    <mergeCell ref="B26:B29"/>
  </mergeCells>
  <conditionalFormatting sqref="E35 E27:E33 E20:E25 E4:E11 J4:J11 F31:H31 F33:H33 J13:J26 E13:E18 F15:H15 K15:M15">
    <cfRule type="cellIs" dxfId="20" priority="29" stopIfTrue="1" operator="lessThan">
      <formula>75</formula>
    </cfRule>
  </conditionalFormatting>
  <conditionalFormatting sqref="F4:F14 F20:F25 F32 F27:F30 K4:K11 F16:F18 G12:H12 G22:H22 K22:L22 F35:H35">
    <cfRule type="cellIs" dxfId="19" priority="28" stopIfTrue="1" operator="lessThan">
      <formula>80</formula>
    </cfRule>
  </conditionalFormatting>
  <conditionalFormatting sqref="G4:H11 G20:H21 G27:H30 G32:H32 L4:M11 M22 G13:H14 G16:H18 G23:H25">
    <cfRule type="cellIs" dxfId="18" priority="27" stopIfTrue="1" operator="lessThan">
      <formula>95</formula>
    </cfRule>
  </conditionalFormatting>
  <conditionalFormatting sqref="J30:J33 K31:M31">
    <cfRule type="cellIs" dxfId="17" priority="26" stopIfTrue="1" operator="lessThan">
      <formula>75</formula>
    </cfRule>
  </conditionalFormatting>
  <conditionalFormatting sqref="K35 K33">
    <cfRule type="cellIs" dxfId="16" priority="25" stopIfTrue="1" operator="lessThan">
      <formula>80</formula>
    </cfRule>
  </conditionalFormatting>
  <conditionalFormatting sqref="M35 L33:M33">
    <cfRule type="cellIs" dxfId="15" priority="24" stopIfTrue="1" operator="lessThan">
      <formula>95</formula>
    </cfRule>
  </conditionalFormatting>
  <conditionalFormatting sqref="K13:K14">
    <cfRule type="cellIs" dxfId="14" priority="17" stopIfTrue="1" operator="lessThan">
      <formula>80</formula>
    </cfRule>
  </conditionalFormatting>
  <conditionalFormatting sqref="L13:M14">
    <cfRule type="cellIs" dxfId="13" priority="16" stopIfTrue="1" operator="lessThan">
      <formula>95</formula>
    </cfRule>
  </conditionalFormatting>
  <conditionalFormatting sqref="K16:K21">
    <cfRule type="cellIs" dxfId="12" priority="15" stopIfTrue="1" operator="lessThan">
      <formula>80</formula>
    </cfRule>
  </conditionalFormatting>
  <conditionalFormatting sqref="L16:M21">
    <cfRule type="cellIs" dxfId="11" priority="14" stopIfTrue="1" operator="lessThan">
      <formula>95</formula>
    </cfRule>
  </conditionalFormatting>
  <conditionalFormatting sqref="K23:K26">
    <cfRule type="cellIs" dxfId="10" priority="13" stopIfTrue="1" operator="lessThan">
      <formula>80</formula>
    </cfRule>
  </conditionalFormatting>
  <conditionalFormatting sqref="L23:M26">
    <cfRule type="cellIs" dxfId="9" priority="12" stopIfTrue="1" operator="lessThan">
      <formula>95</formula>
    </cfRule>
  </conditionalFormatting>
  <conditionalFormatting sqref="K30">
    <cfRule type="cellIs" dxfId="8" priority="11" stopIfTrue="1" operator="lessThan">
      <formula>80</formula>
    </cfRule>
  </conditionalFormatting>
  <conditionalFormatting sqref="L30:M30">
    <cfRule type="cellIs" dxfId="7" priority="10" stopIfTrue="1" operator="lessThan">
      <formula>95</formula>
    </cfRule>
  </conditionalFormatting>
  <conditionalFormatting sqref="K32">
    <cfRule type="cellIs" dxfId="6" priority="9" stopIfTrue="1" operator="lessThan">
      <formula>80</formula>
    </cfRule>
  </conditionalFormatting>
  <conditionalFormatting sqref="L32:M32">
    <cfRule type="cellIs" dxfId="5" priority="8" stopIfTrue="1" operator="lessThan">
      <formula>95</formula>
    </cfRule>
  </conditionalFormatting>
  <conditionalFormatting sqref="J12:M12">
    <cfRule type="cellIs" dxfId="4" priority="6" stopIfTrue="1" operator="lessThan">
      <formula>80</formula>
    </cfRule>
  </conditionalFormatting>
  <conditionalFormatting sqref="E12">
    <cfRule type="cellIs" dxfId="3" priority="5" stopIfTrue="1" operator="lessThan">
      <formula>80</formula>
    </cfRule>
  </conditionalFormatting>
  <conditionalFormatting sqref="L35">
    <cfRule type="cellIs" dxfId="2" priority="3" stopIfTrue="1" operator="lessThan">
      <formula>80</formula>
    </cfRule>
  </conditionalFormatting>
  <conditionalFormatting sqref="O26:O27">
    <cfRule type="cellIs" dxfId="1" priority="2" stopIfTrue="1" operator="lessThan">
      <formula>95</formula>
    </cfRule>
  </conditionalFormatting>
  <conditionalFormatting sqref="J35">
    <cfRule type="cellIs" dxfId="0" priority="1" stopIfTrue="1" operator="lessThan">
      <formula>75</formula>
    </cfRule>
  </conditionalFormatting>
  <printOptions horizontalCentered="1"/>
  <pageMargins left="0.35433070866141736" right="0.15748031496062992" top="0.98425196850393704" bottom="0.47244094488188981" header="0.31496062992125984" footer="0.31496062992125984"/>
  <pageSetup paperSize="9" scale="72" fitToHeight="0" orientation="landscape" r:id="rId1"/>
  <headerFooter>
    <oddHeader>&amp;L&amp;G&amp;C&amp;12ORGANIZAÇÃO DAS VOLUNTÁRIAS DE GOIÁS
DIRETORIA GERAL
GERÊNCIA ESTRATÉGICA DE PLANEJAMENTO E GOVERNANÇA       
INDICADOR DE DESEMPENHO 2021/1</oddHeader>
  </headerFooter>
  <rowBreaks count="1" manualBreakCount="1">
    <brk id="22" max="19"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R41"/>
  <sheetViews>
    <sheetView tabSelected="1" zoomScaleNormal="100" workbookViewId="0">
      <selection activeCell="N37" sqref="N37"/>
    </sheetView>
  </sheetViews>
  <sheetFormatPr defaultRowHeight="15" x14ac:dyDescent="0.25"/>
  <sheetData>
    <row r="3" spans="1:18" ht="15.75" x14ac:dyDescent="0.25">
      <c r="A3" s="377" t="s">
        <v>135</v>
      </c>
      <c r="B3" s="377"/>
      <c r="C3" s="377"/>
      <c r="D3" s="377"/>
      <c r="E3" s="377"/>
      <c r="F3" s="377"/>
      <c r="G3" s="377"/>
      <c r="H3" s="377"/>
      <c r="I3" s="377"/>
      <c r="J3" s="377"/>
      <c r="K3" s="377"/>
      <c r="L3" s="377"/>
      <c r="M3" s="377"/>
      <c r="N3" s="377"/>
      <c r="O3" s="377"/>
      <c r="P3" s="377"/>
      <c r="Q3" s="377"/>
      <c r="R3" s="377"/>
    </row>
    <row r="4" spans="1:18" ht="16.5" thickBot="1" x14ac:dyDescent="0.3">
      <c r="A4" s="228"/>
      <c r="B4" s="228"/>
      <c r="C4" s="228"/>
      <c r="D4" s="228"/>
      <c r="E4" s="228"/>
      <c r="F4" s="228"/>
      <c r="G4" s="228"/>
      <c r="H4" s="228"/>
      <c r="I4" s="228"/>
      <c r="J4" s="228"/>
      <c r="K4" s="228"/>
      <c r="L4" s="228"/>
      <c r="M4" s="228"/>
      <c r="N4" s="228"/>
      <c r="O4" s="228"/>
      <c r="P4" s="228"/>
      <c r="Q4" s="228"/>
      <c r="R4" s="228"/>
    </row>
    <row r="5" spans="1:18" ht="12" customHeight="1" thickTop="1" x14ac:dyDescent="0.25">
      <c r="A5" s="374"/>
      <c r="B5" s="375"/>
      <c r="C5" s="375"/>
      <c r="D5" s="375"/>
      <c r="E5" s="375"/>
      <c r="F5" s="375"/>
      <c r="G5" s="375"/>
      <c r="H5" s="375"/>
      <c r="I5" s="375"/>
      <c r="J5" s="375"/>
      <c r="K5" s="375"/>
      <c r="L5" s="375"/>
      <c r="M5" s="375"/>
      <c r="N5" s="375"/>
      <c r="O5" s="375"/>
      <c r="P5" s="375"/>
      <c r="Q5" s="375"/>
      <c r="R5" s="376"/>
    </row>
    <row r="6" spans="1:18" ht="72" customHeight="1" x14ac:dyDescent="0.25">
      <c r="A6" s="368" t="s">
        <v>136</v>
      </c>
      <c r="B6" s="369"/>
      <c r="C6" s="369"/>
      <c r="D6" s="369"/>
      <c r="E6" s="369"/>
      <c r="F6" s="369"/>
      <c r="G6" s="369"/>
      <c r="H6" s="369"/>
      <c r="I6" s="369"/>
      <c r="J6" s="369"/>
      <c r="K6" s="369"/>
      <c r="L6" s="369"/>
      <c r="M6" s="369"/>
      <c r="N6" s="369"/>
      <c r="O6" s="369"/>
      <c r="P6" s="369"/>
      <c r="Q6" s="369"/>
      <c r="R6" s="370"/>
    </row>
    <row r="7" spans="1:18" ht="66.75" customHeight="1" x14ac:dyDescent="0.25">
      <c r="A7" s="368" t="s">
        <v>137</v>
      </c>
      <c r="B7" s="369"/>
      <c r="C7" s="369"/>
      <c r="D7" s="369"/>
      <c r="E7" s="369"/>
      <c r="F7" s="369"/>
      <c r="G7" s="369"/>
      <c r="H7" s="369"/>
      <c r="I7" s="369"/>
      <c r="J7" s="369"/>
      <c r="K7" s="369"/>
      <c r="L7" s="369"/>
      <c r="M7" s="369"/>
      <c r="N7" s="369"/>
      <c r="O7" s="369"/>
      <c r="P7" s="369"/>
      <c r="Q7" s="369"/>
      <c r="R7" s="370"/>
    </row>
    <row r="8" spans="1:18" ht="96" customHeight="1" x14ac:dyDescent="0.25">
      <c r="A8" s="365" t="s">
        <v>138</v>
      </c>
      <c r="B8" s="366"/>
      <c r="C8" s="366"/>
      <c r="D8" s="366"/>
      <c r="E8" s="366"/>
      <c r="F8" s="366"/>
      <c r="G8" s="366"/>
      <c r="H8" s="366"/>
      <c r="I8" s="366"/>
      <c r="J8" s="366"/>
      <c r="K8" s="366"/>
      <c r="L8" s="366"/>
      <c r="M8" s="366"/>
      <c r="N8" s="366"/>
      <c r="O8" s="366"/>
      <c r="P8" s="366"/>
      <c r="Q8" s="366"/>
      <c r="R8" s="367"/>
    </row>
    <row r="9" spans="1:18" ht="150.75" customHeight="1" x14ac:dyDescent="0.25">
      <c r="A9" s="368" t="s">
        <v>139</v>
      </c>
      <c r="B9" s="369"/>
      <c r="C9" s="369"/>
      <c r="D9" s="369"/>
      <c r="E9" s="369"/>
      <c r="F9" s="369"/>
      <c r="G9" s="369"/>
      <c r="H9" s="369"/>
      <c r="I9" s="369"/>
      <c r="J9" s="369"/>
      <c r="K9" s="369"/>
      <c r="L9" s="369"/>
      <c r="M9" s="369"/>
      <c r="N9" s="369"/>
      <c r="O9" s="369"/>
      <c r="P9" s="369"/>
      <c r="Q9" s="369"/>
      <c r="R9" s="370"/>
    </row>
    <row r="10" spans="1:18" ht="87.75" customHeight="1" x14ac:dyDescent="0.25">
      <c r="A10" s="368" t="s">
        <v>140</v>
      </c>
      <c r="B10" s="369"/>
      <c r="C10" s="369"/>
      <c r="D10" s="369"/>
      <c r="E10" s="369"/>
      <c r="F10" s="369"/>
      <c r="G10" s="369"/>
      <c r="H10" s="369"/>
      <c r="I10" s="369"/>
      <c r="J10" s="369"/>
      <c r="K10" s="369"/>
      <c r="L10" s="369"/>
      <c r="M10" s="369"/>
      <c r="N10" s="369"/>
      <c r="O10" s="369"/>
      <c r="P10" s="369"/>
      <c r="Q10" s="369"/>
      <c r="R10" s="370"/>
    </row>
    <row r="11" spans="1:18" ht="50.25" customHeight="1" thickBot="1" x14ac:dyDescent="0.3">
      <c r="A11" s="371" t="s">
        <v>141</v>
      </c>
      <c r="B11" s="372"/>
      <c r="C11" s="372"/>
      <c r="D11" s="372"/>
      <c r="E11" s="372"/>
      <c r="F11" s="372"/>
      <c r="G11" s="372"/>
      <c r="H11" s="372"/>
      <c r="I11" s="372"/>
      <c r="J11" s="372"/>
      <c r="K11" s="372"/>
      <c r="L11" s="372"/>
      <c r="M11" s="372"/>
      <c r="N11" s="372"/>
      <c r="O11" s="372"/>
      <c r="P11" s="372"/>
      <c r="Q11" s="372"/>
      <c r="R11" s="373"/>
    </row>
    <row r="12" spans="1:18" ht="15" customHeight="1" thickTop="1" x14ac:dyDescent="0.25">
      <c r="A12" s="261"/>
      <c r="B12" s="261"/>
      <c r="C12" s="261"/>
      <c r="D12" s="261"/>
      <c r="E12" s="261"/>
      <c r="F12" s="261"/>
      <c r="G12" s="261"/>
      <c r="H12" s="261"/>
      <c r="I12" s="261"/>
      <c r="J12" s="261"/>
      <c r="K12" s="261"/>
      <c r="L12" s="261"/>
      <c r="M12" s="261"/>
      <c r="N12" s="261"/>
      <c r="O12" s="261"/>
      <c r="P12" s="261"/>
      <c r="Q12" s="261"/>
      <c r="R12" s="265"/>
    </row>
    <row r="13" spans="1:18" ht="15" customHeight="1" x14ac:dyDescent="0.25">
      <c r="A13" s="261"/>
      <c r="B13" s="261"/>
      <c r="C13" s="261"/>
      <c r="D13" s="261"/>
      <c r="E13" s="261"/>
      <c r="F13" s="261"/>
      <c r="G13" s="261"/>
      <c r="H13" s="261"/>
      <c r="I13" s="261"/>
      <c r="J13" s="261"/>
      <c r="K13" s="261"/>
      <c r="L13" s="261"/>
      <c r="M13" s="261"/>
      <c r="N13" s="261"/>
      <c r="O13" s="261"/>
      <c r="P13" s="261"/>
      <c r="Q13" s="261"/>
      <c r="R13" s="261"/>
    </row>
    <row r="14" spans="1:18" ht="15" customHeight="1" x14ac:dyDescent="0.25">
      <c r="A14" s="261"/>
      <c r="B14" s="261"/>
      <c r="C14" s="261"/>
      <c r="D14" s="261"/>
      <c r="E14" s="261"/>
      <c r="F14" s="261"/>
      <c r="G14" s="261"/>
      <c r="H14" s="261"/>
      <c r="I14" s="261"/>
      <c r="J14" s="261"/>
      <c r="K14" s="261"/>
      <c r="L14" s="261"/>
      <c r="M14" s="261"/>
      <c r="N14" s="261"/>
      <c r="O14" s="261"/>
      <c r="P14" s="261"/>
      <c r="Q14" s="261"/>
      <c r="R14" s="261"/>
    </row>
    <row r="15" spans="1:18" ht="15.75" customHeight="1" thickBot="1" x14ac:dyDescent="0.3">
      <c r="A15" s="261"/>
      <c r="B15" s="261"/>
      <c r="C15" s="261"/>
      <c r="D15" s="261"/>
      <c r="E15" s="261"/>
      <c r="F15" s="261"/>
      <c r="G15" s="261"/>
      <c r="H15" s="261"/>
      <c r="I15" s="261"/>
      <c r="J15" s="261"/>
      <c r="K15" s="261"/>
      <c r="L15" s="261"/>
      <c r="M15" s="261"/>
      <c r="N15" s="261"/>
      <c r="O15" s="261"/>
      <c r="P15" s="261"/>
      <c r="Q15" s="261"/>
      <c r="R15" s="268"/>
    </row>
    <row r="16" spans="1:18" ht="95.25" customHeight="1" thickTop="1" x14ac:dyDescent="0.25">
      <c r="A16" s="374" t="s">
        <v>142</v>
      </c>
      <c r="B16" s="375"/>
      <c r="C16" s="375"/>
      <c r="D16" s="375"/>
      <c r="E16" s="375"/>
      <c r="F16" s="375"/>
      <c r="G16" s="375"/>
      <c r="H16" s="375"/>
      <c r="I16" s="375"/>
      <c r="J16" s="375"/>
      <c r="K16" s="375"/>
      <c r="L16" s="375"/>
      <c r="M16" s="375"/>
      <c r="N16" s="375"/>
      <c r="O16" s="375"/>
      <c r="P16" s="375"/>
      <c r="Q16" s="375"/>
      <c r="R16" s="376"/>
    </row>
    <row r="17" spans="1:18" ht="112.5" customHeight="1" x14ac:dyDescent="0.25">
      <c r="A17" s="365" t="s">
        <v>143</v>
      </c>
      <c r="B17" s="366"/>
      <c r="C17" s="366"/>
      <c r="D17" s="366"/>
      <c r="E17" s="366"/>
      <c r="F17" s="366"/>
      <c r="G17" s="366"/>
      <c r="H17" s="366"/>
      <c r="I17" s="366"/>
      <c r="J17" s="366"/>
      <c r="K17" s="366"/>
      <c r="L17" s="366"/>
      <c r="M17" s="366"/>
      <c r="N17" s="366"/>
      <c r="O17" s="366"/>
      <c r="P17" s="366"/>
      <c r="Q17" s="366"/>
      <c r="R17" s="367"/>
    </row>
    <row r="18" spans="1:18" ht="168" customHeight="1" x14ac:dyDescent="0.25">
      <c r="A18" s="378" t="s">
        <v>144</v>
      </c>
      <c r="B18" s="379"/>
      <c r="C18" s="379"/>
      <c r="D18" s="379"/>
      <c r="E18" s="379"/>
      <c r="F18" s="379"/>
      <c r="G18" s="379"/>
      <c r="H18" s="379"/>
      <c r="I18" s="379"/>
      <c r="J18" s="379"/>
      <c r="K18" s="379"/>
      <c r="L18" s="379"/>
      <c r="M18" s="379"/>
      <c r="N18" s="379"/>
      <c r="O18" s="379"/>
      <c r="P18" s="379"/>
      <c r="Q18" s="379"/>
      <c r="R18" s="380"/>
    </row>
    <row r="19" spans="1:18" ht="38.25" customHeight="1" thickBot="1" x14ac:dyDescent="0.3">
      <c r="A19" s="381" t="s">
        <v>145</v>
      </c>
      <c r="B19" s="382"/>
      <c r="C19" s="382"/>
      <c r="D19" s="382"/>
      <c r="E19" s="382"/>
      <c r="F19" s="382"/>
      <c r="G19" s="382"/>
      <c r="H19" s="382"/>
      <c r="I19" s="382"/>
      <c r="J19" s="382"/>
      <c r="K19" s="382"/>
      <c r="L19" s="382"/>
      <c r="M19" s="382"/>
      <c r="N19" s="382"/>
      <c r="O19" s="382"/>
      <c r="P19" s="382"/>
      <c r="Q19" s="382"/>
      <c r="R19" s="383"/>
    </row>
    <row r="20" spans="1:18" ht="16.5" customHeight="1" x14ac:dyDescent="0.25">
      <c r="A20" s="229"/>
    </row>
    <row r="21" spans="1:18" ht="15" customHeight="1" x14ac:dyDescent="0.3">
      <c r="A21" s="230" t="s">
        <v>89</v>
      </c>
      <c r="B21" s="231"/>
      <c r="C21" s="232"/>
      <c r="D21" s="231"/>
      <c r="E21" s="231"/>
      <c r="F21" s="231"/>
      <c r="G21" s="231"/>
      <c r="H21" s="231"/>
      <c r="I21" s="233"/>
      <c r="J21" s="233"/>
      <c r="K21" s="233"/>
      <c r="L21" s="233"/>
      <c r="M21" s="233"/>
      <c r="N21" s="233"/>
      <c r="O21" s="233"/>
      <c r="P21" s="233"/>
      <c r="Q21" s="233"/>
      <c r="R21" s="233"/>
    </row>
    <row r="22" spans="1:18" ht="19.5" customHeight="1" x14ac:dyDescent="0.3">
      <c r="A22" s="234"/>
      <c r="B22" s="231"/>
      <c r="C22" s="232"/>
      <c r="D22" s="231"/>
      <c r="E22" s="231"/>
      <c r="F22" s="231"/>
      <c r="G22" s="231"/>
      <c r="H22" s="235"/>
      <c r="I22" s="235"/>
      <c r="J22" s="233"/>
      <c r="K22" s="233"/>
      <c r="L22" s="233"/>
      <c r="M22" s="233"/>
      <c r="N22" s="233"/>
      <c r="O22" s="233"/>
      <c r="P22" s="233"/>
      <c r="Q22" s="233"/>
      <c r="R22" s="233"/>
    </row>
    <row r="23" spans="1:18" ht="19.5" customHeight="1" x14ac:dyDescent="0.3">
      <c r="A23" s="234"/>
      <c r="B23" s="231"/>
      <c r="C23" s="232"/>
      <c r="D23" s="231"/>
      <c r="E23" s="231"/>
      <c r="F23" s="231"/>
      <c r="G23" s="231"/>
      <c r="H23" s="235"/>
      <c r="I23" s="235"/>
      <c r="J23" s="233"/>
      <c r="K23" s="233"/>
      <c r="L23" s="233"/>
      <c r="M23" s="233"/>
      <c r="N23" s="233"/>
      <c r="O23" s="233"/>
      <c r="P23" s="233"/>
      <c r="Q23" s="233"/>
      <c r="R23" s="233"/>
    </row>
    <row r="24" spans="1:18" ht="18" customHeight="1" x14ac:dyDescent="0.25">
      <c r="A24" s="234"/>
      <c r="B24" s="236"/>
      <c r="C24" s="311" t="s">
        <v>108</v>
      </c>
      <c r="D24" s="311"/>
      <c r="E24" s="311"/>
      <c r="F24" s="311"/>
      <c r="G24" s="311"/>
      <c r="H24" s="205"/>
      <c r="I24" s="206"/>
      <c r="J24" s="236"/>
      <c r="K24" s="236"/>
      <c r="L24" s="311" t="s">
        <v>91</v>
      </c>
      <c r="M24" s="311"/>
      <c r="N24" s="311"/>
      <c r="O24" s="311"/>
      <c r="P24" s="311"/>
      <c r="Q24" s="311"/>
      <c r="R24" s="205"/>
    </row>
    <row r="25" spans="1:18" ht="18" customHeight="1" x14ac:dyDescent="0.25">
      <c r="A25" s="234"/>
      <c r="B25" s="236"/>
      <c r="C25" s="311" t="s">
        <v>92</v>
      </c>
      <c r="D25" s="311"/>
      <c r="E25" s="311"/>
      <c r="F25" s="311"/>
      <c r="G25" s="311"/>
      <c r="H25" s="205"/>
      <c r="I25" s="205"/>
      <c r="J25" s="236"/>
      <c r="K25" s="236"/>
      <c r="L25" s="311" t="s">
        <v>93</v>
      </c>
      <c r="M25" s="311"/>
      <c r="N25" s="311"/>
      <c r="O25" s="311"/>
      <c r="P25" s="311"/>
      <c r="Q25" s="311"/>
      <c r="R25" s="205"/>
    </row>
    <row r="26" spans="1:18" ht="18" x14ac:dyDescent="0.25">
      <c r="A26" s="234"/>
      <c r="B26" s="236"/>
      <c r="C26" s="236"/>
      <c r="D26" s="236"/>
      <c r="E26" s="236"/>
      <c r="F26" s="236"/>
      <c r="G26" s="236"/>
      <c r="H26" s="236"/>
      <c r="I26" s="206"/>
      <c r="J26" s="236"/>
      <c r="K26" s="236"/>
      <c r="L26" s="236"/>
      <c r="M26" s="236"/>
      <c r="N26" s="236"/>
      <c r="O26" s="236"/>
      <c r="P26" s="236"/>
      <c r="Q26" s="236"/>
      <c r="R26" s="236"/>
    </row>
    <row r="27" spans="1:18" ht="18" x14ac:dyDescent="0.25">
      <c r="A27" s="234"/>
      <c r="B27" s="205"/>
      <c r="C27" s="205"/>
      <c r="D27" s="207"/>
      <c r="E27" s="207"/>
      <c r="F27" s="208"/>
      <c r="G27" s="205"/>
      <c r="H27" s="206"/>
      <c r="I27" s="206"/>
      <c r="J27" s="236"/>
      <c r="K27" s="236"/>
      <c r="L27" s="236"/>
      <c r="M27" s="236"/>
      <c r="N27" s="236"/>
      <c r="O27" s="236"/>
      <c r="P27" s="236"/>
      <c r="Q27" s="236"/>
      <c r="R27" s="236"/>
    </row>
    <row r="28" spans="1:18" ht="18" customHeight="1" x14ac:dyDescent="0.25">
      <c r="A28" s="234"/>
      <c r="B28" s="205"/>
      <c r="C28" s="205"/>
      <c r="D28" s="207"/>
      <c r="E28" s="207"/>
      <c r="F28" s="208"/>
      <c r="G28" s="205"/>
      <c r="H28" s="206"/>
      <c r="I28" s="206"/>
      <c r="J28" s="236"/>
      <c r="K28" s="236"/>
      <c r="L28" s="236"/>
      <c r="M28" s="236"/>
      <c r="N28" s="236"/>
      <c r="O28" s="236"/>
      <c r="P28" s="236"/>
      <c r="Q28" s="236"/>
      <c r="R28" s="236"/>
    </row>
    <row r="29" spans="1:18" ht="18" customHeight="1" x14ac:dyDescent="0.25">
      <c r="A29" s="234"/>
      <c r="B29" s="205"/>
      <c r="C29" s="311" t="s">
        <v>146</v>
      </c>
      <c r="D29" s="311"/>
      <c r="E29" s="311"/>
      <c r="F29" s="311"/>
      <c r="G29" s="311"/>
      <c r="H29" s="206"/>
      <c r="I29" s="206"/>
      <c r="J29" s="236"/>
      <c r="K29" s="236"/>
      <c r="L29" s="311" t="s">
        <v>95</v>
      </c>
      <c r="M29" s="311"/>
      <c r="N29" s="311"/>
      <c r="O29" s="311"/>
      <c r="P29" s="311"/>
      <c r="Q29" s="311"/>
      <c r="R29" s="205"/>
    </row>
    <row r="30" spans="1:18" ht="18" x14ac:dyDescent="0.25">
      <c r="A30" s="234"/>
      <c r="B30" s="311" t="s">
        <v>134</v>
      </c>
      <c r="C30" s="311"/>
      <c r="D30" s="311"/>
      <c r="E30" s="311"/>
      <c r="F30" s="311"/>
      <c r="G30" s="311"/>
      <c r="H30" s="311"/>
      <c r="I30" s="206"/>
      <c r="J30" s="236"/>
      <c r="K30" s="236"/>
      <c r="L30" s="311" t="s">
        <v>97</v>
      </c>
      <c r="M30" s="311"/>
      <c r="N30" s="311"/>
      <c r="O30" s="311"/>
      <c r="P30" s="311"/>
      <c r="Q30" s="311"/>
      <c r="R30" s="205"/>
    </row>
    <row r="31" spans="1:18" ht="18" x14ac:dyDescent="0.25">
      <c r="A31" s="234"/>
      <c r="B31" s="205"/>
      <c r="C31" s="205"/>
      <c r="D31" s="207"/>
      <c r="E31" s="207"/>
      <c r="F31" s="208"/>
      <c r="G31" s="205"/>
      <c r="H31" s="206"/>
      <c r="I31" s="206"/>
      <c r="J31" s="236"/>
      <c r="K31" s="236"/>
      <c r="L31" s="236"/>
      <c r="M31" s="236"/>
      <c r="N31" s="236"/>
      <c r="O31" s="236"/>
      <c r="P31" s="236"/>
      <c r="Q31" s="236"/>
      <c r="R31" s="205"/>
    </row>
    <row r="37" ht="15" customHeight="1" x14ac:dyDescent="0.25"/>
    <row r="38" ht="15" customHeight="1" x14ac:dyDescent="0.25"/>
    <row r="41" ht="15" customHeight="1" x14ac:dyDescent="0.25"/>
  </sheetData>
  <mergeCells count="20">
    <mergeCell ref="L30:Q30"/>
    <mergeCell ref="A3:R3"/>
    <mergeCell ref="B30:H30"/>
    <mergeCell ref="C24:G24"/>
    <mergeCell ref="L24:Q24"/>
    <mergeCell ref="C25:G25"/>
    <mergeCell ref="L25:Q25"/>
    <mergeCell ref="C29:G29"/>
    <mergeCell ref="A18:R18"/>
    <mergeCell ref="A19:R19"/>
    <mergeCell ref="A5:R5"/>
    <mergeCell ref="A7:R7"/>
    <mergeCell ref="A8:R8"/>
    <mergeCell ref="A9:R9"/>
    <mergeCell ref="A10:R10"/>
    <mergeCell ref="A17:R17"/>
    <mergeCell ref="A6:R6"/>
    <mergeCell ref="A11:R11"/>
    <mergeCell ref="A16:R16"/>
    <mergeCell ref="L29:Q29"/>
  </mergeCells>
  <printOptions horizontalCentered="1"/>
  <pageMargins left="0.51181102362204722" right="0.51181102362204722" top="0.78740157480314965" bottom="0.78740157480314965" header="0.31496062992125984" footer="0.31496062992125984"/>
  <pageSetup paperSize="9" scale="76" orientation="landscape" r:id="rId1"/>
  <headerFooter>
    <oddHeader>&amp;L&amp;G&amp;CORGANIZAÇÃO DAS VOLUNTÁRIAS DE GOIÁS
DIRETORIA GERAL
GERÊNCIA ESTRATÉGICA DE PLANEJAMENTO E GOVERNANÇA       
INDICADOR DE DESEMPENHO 2021/1</oddHeader>
  </headerFooter>
  <rowBreaks count="1" manualBreakCount="1">
    <brk id="13" max="17"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C248"/>
  <sheetViews>
    <sheetView workbookViewId="0">
      <pane xSplit="3" ySplit="6" topLeftCell="AK26" activePane="bottomRight" state="frozen"/>
      <selection pane="topRight" activeCell="D1" sqref="D1"/>
      <selection pane="bottomLeft" activeCell="A5" sqref="A5"/>
      <selection pane="bottomRight" activeCell="AN27" sqref="AN27"/>
    </sheetView>
  </sheetViews>
  <sheetFormatPr defaultColWidth="8.85546875" defaultRowHeight="11.25" x14ac:dyDescent="0.2"/>
  <cols>
    <col min="1" max="1" width="7.42578125" style="53" customWidth="1"/>
    <col min="2" max="2" width="5.7109375" style="54" customWidth="1"/>
    <col min="3" max="3" width="29.42578125" style="1" customWidth="1"/>
    <col min="4" max="4" width="18" style="3" bestFit="1" customWidth="1"/>
    <col min="5" max="5" width="15.85546875" style="38" bestFit="1" customWidth="1"/>
    <col min="6" max="6" width="14.28515625" style="3" bestFit="1" customWidth="1"/>
    <col min="7" max="7" width="16.85546875" style="3" bestFit="1" customWidth="1"/>
    <col min="8" max="8" width="15.85546875" style="3" bestFit="1" customWidth="1"/>
    <col min="9" max="9" width="14.28515625" style="3" bestFit="1" customWidth="1"/>
    <col min="10" max="10" width="16.85546875" style="3" bestFit="1" customWidth="1"/>
    <col min="11" max="11" width="15.85546875" style="3" bestFit="1" customWidth="1"/>
    <col min="12" max="12" width="14.28515625" style="3" bestFit="1" customWidth="1"/>
    <col min="13" max="13" width="16.85546875" style="3" bestFit="1" customWidth="1"/>
    <col min="14" max="14" width="15.85546875" style="3" bestFit="1" customWidth="1"/>
    <col min="15" max="15" width="14.28515625" style="3" bestFit="1" customWidth="1"/>
    <col min="16" max="16" width="16.85546875" style="3" bestFit="1" customWidth="1"/>
    <col min="17" max="17" width="15.85546875" style="3" bestFit="1" customWidth="1"/>
    <col min="18" max="18" width="14.28515625" style="3" bestFit="1" customWidth="1"/>
    <col min="19" max="19" width="16.85546875" style="3" bestFit="1" customWidth="1"/>
    <col min="20" max="20" width="15.85546875" style="3" bestFit="1" customWidth="1"/>
    <col min="21" max="21" width="13.7109375" style="3" customWidth="1"/>
    <col min="22" max="22" width="16.85546875" style="3" bestFit="1" customWidth="1"/>
    <col min="23" max="23" width="15.85546875" style="3" bestFit="1" customWidth="1"/>
    <col min="24" max="24" width="12.7109375" style="3" customWidth="1"/>
    <col min="25" max="25" width="16.85546875" style="3" bestFit="1" customWidth="1"/>
    <col min="26" max="26" width="15.85546875" style="3" bestFit="1" customWidth="1"/>
    <col min="27" max="27" width="13.5703125" style="3" customWidth="1"/>
    <col min="28" max="28" width="16.85546875" style="3" bestFit="1" customWidth="1"/>
    <col min="29" max="29" width="15.85546875" style="3" bestFit="1" customWidth="1"/>
    <col min="30" max="30" width="13.7109375" style="3" customWidth="1"/>
    <col min="31" max="31" width="16.85546875" style="3" bestFit="1" customWidth="1"/>
    <col min="32" max="32" width="15.85546875" style="3" bestFit="1" customWidth="1"/>
    <col min="33" max="33" width="13.42578125" style="3" customWidth="1"/>
    <col min="34" max="34" width="16.85546875" style="3" bestFit="1" customWidth="1"/>
    <col min="35" max="35" width="15.85546875" style="3" bestFit="1" customWidth="1"/>
    <col min="36" max="36" width="12.42578125" style="3" customWidth="1"/>
    <col min="37" max="37" width="16.85546875" style="3" bestFit="1" customWidth="1"/>
    <col min="38" max="38" width="15.85546875" style="3" bestFit="1" customWidth="1"/>
    <col min="39" max="39" width="13.85546875" style="3" customWidth="1"/>
    <col min="40" max="40" width="18" style="3" bestFit="1" customWidth="1"/>
    <col min="41" max="41" width="16.85546875" style="3" bestFit="1" customWidth="1"/>
    <col min="42" max="42" width="16.140625" style="3" customWidth="1"/>
    <col min="43" max="43" width="19.85546875" style="3" customWidth="1"/>
    <col min="44" max="44" width="6" style="3" customWidth="1"/>
    <col min="45" max="45" width="17.42578125" style="3" bestFit="1" customWidth="1"/>
    <col min="46" max="46" width="16.28515625" style="3" bestFit="1" customWidth="1"/>
    <col min="47" max="47" width="15.7109375" style="3" customWidth="1"/>
    <col min="48" max="48" width="15" style="3" bestFit="1" customWidth="1"/>
    <col min="49" max="49" width="17" style="3" bestFit="1" customWidth="1"/>
    <col min="50" max="51" width="8.85546875" style="3"/>
    <col min="52" max="52" width="17" style="3" bestFit="1" customWidth="1"/>
    <col min="53" max="53" width="16.85546875" style="3" bestFit="1" customWidth="1"/>
    <col min="54" max="54" width="16.85546875" style="3" customWidth="1"/>
    <col min="55" max="55" width="11" style="3" bestFit="1" customWidth="1"/>
    <col min="56" max="16384" width="8.85546875" style="3"/>
  </cols>
  <sheetData>
    <row r="1" spans="1:55" ht="24.75" customHeight="1" x14ac:dyDescent="0.2">
      <c r="D1" s="3" t="s">
        <v>147</v>
      </c>
      <c r="E1" s="3" t="s">
        <v>148</v>
      </c>
      <c r="F1" s="3" t="s">
        <v>149</v>
      </c>
      <c r="G1" s="3" t="s">
        <v>150</v>
      </c>
      <c r="H1" s="3" t="s">
        <v>151</v>
      </c>
      <c r="I1" s="3" t="s">
        <v>152</v>
      </c>
      <c r="J1" s="3" t="s">
        <v>153</v>
      </c>
      <c r="K1" s="3" t="s">
        <v>154</v>
      </c>
      <c r="L1" s="3" t="s">
        <v>155</v>
      </c>
      <c r="M1" s="3" t="s">
        <v>156</v>
      </c>
      <c r="N1" s="3" t="s">
        <v>157</v>
      </c>
      <c r="O1" s="3" t="s">
        <v>158</v>
      </c>
      <c r="AE1" s="3" t="s">
        <v>155</v>
      </c>
      <c r="AF1" s="3" t="s">
        <v>156</v>
      </c>
      <c r="AG1" s="3" t="s">
        <v>157</v>
      </c>
      <c r="AH1" s="3" t="s">
        <v>158</v>
      </c>
    </row>
    <row r="2" spans="1:55" ht="30.75" customHeight="1" x14ac:dyDescent="0.2">
      <c r="D2" s="74">
        <f>D3-D7</f>
        <v>-30000</v>
      </c>
      <c r="E2" s="74">
        <f t="shared" ref="E2:AM2" si="0">E3-E7</f>
        <v>0</v>
      </c>
      <c r="F2" s="74">
        <f t="shared" si="0"/>
        <v>0</v>
      </c>
      <c r="G2" s="74">
        <f t="shared" si="0"/>
        <v>-35000</v>
      </c>
      <c r="H2" s="74">
        <f t="shared" si="0"/>
        <v>0</v>
      </c>
      <c r="I2" s="74">
        <f t="shared" si="0"/>
        <v>0</v>
      </c>
      <c r="J2" s="74">
        <f t="shared" si="0"/>
        <v>-34999.999999998137</v>
      </c>
      <c r="K2" s="74">
        <f t="shared" si="0"/>
        <v>0</v>
      </c>
      <c r="L2" s="74">
        <f t="shared" si="0"/>
        <v>0</v>
      </c>
      <c r="M2" s="74">
        <f t="shared" si="0"/>
        <v>0</v>
      </c>
      <c r="N2" s="74">
        <f t="shared" si="0"/>
        <v>0</v>
      </c>
      <c r="O2" s="74">
        <f t="shared" si="0"/>
        <v>0</v>
      </c>
      <c r="P2" s="74">
        <f t="shared" si="0"/>
        <v>0</v>
      </c>
      <c r="Q2" s="74">
        <f t="shared" si="0"/>
        <v>0</v>
      </c>
      <c r="R2" s="74">
        <f t="shared" si="0"/>
        <v>0</v>
      </c>
      <c r="S2" s="74">
        <f t="shared" si="0"/>
        <v>0</v>
      </c>
      <c r="T2" s="74">
        <f t="shared" si="0"/>
        <v>0</v>
      </c>
      <c r="U2" s="74">
        <f t="shared" si="0"/>
        <v>0</v>
      </c>
      <c r="V2" s="74">
        <f t="shared" si="0"/>
        <v>0</v>
      </c>
      <c r="W2" s="74">
        <f t="shared" si="0"/>
        <v>0</v>
      </c>
      <c r="X2" s="74">
        <f t="shared" si="0"/>
        <v>0</v>
      </c>
      <c r="Y2" s="74">
        <f t="shared" si="0"/>
        <v>0</v>
      </c>
      <c r="Z2" s="74">
        <f t="shared" si="0"/>
        <v>0</v>
      </c>
      <c r="AA2" s="74">
        <f t="shared" si="0"/>
        <v>0</v>
      </c>
      <c r="AB2" s="74">
        <f t="shared" si="0"/>
        <v>0</v>
      </c>
      <c r="AC2" s="74">
        <f t="shared" si="0"/>
        <v>382.12000000011176</v>
      </c>
      <c r="AD2" s="74">
        <f t="shared" si="0"/>
        <v>0</v>
      </c>
      <c r="AE2" s="74">
        <f t="shared" si="0"/>
        <v>0</v>
      </c>
      <c r="AF2" s="74">
        <f t="shared" si="0"/>
        <v>0</v>
      </c>
      <c r="AG2" s="74">
        <f t="shared" si="0"/>
        <v>0</v>
      </c>
      <c r="AH2" s="74">
        <f t="shared" si="0"/>
        <v>0</v>
      </c>
      <c r="AI2" s="74">
        <f>AI3-AI7</f>
        <v>0</v>
      </c>
      <c r="AJ2" s="74">
        <f t="shared" si="0"/>
        <v>0</v>
      </c>
      <c r="AK2" s="74">
        <f t="shared" si="0"/>
        <v>0</v>
      </c>
      <c r="AL2" s="74">
        <f t="shared" si="0"/>
        <v>0</v>
      </c>
      <c r="AM2" s="74">
        <f t="shared" si="0"/>
        <v>0</v>
      </c>
    </row>
    <row r="3" spans="1:55" s="73" customFormat="1" ht="42" customHeight="1" thickBot="1" x14ac:dyDescent="0.25">
      <c r="A3" s="75"/>
      <c r="B3" s="76"/>
      <c r="C3" s="77"/>
      <c r="D3" s="78">
        <v>9704573.8169212136</v>
      </c>
      <c r="E3" s="78">
        <v>3459165.7869989704</v>
      </c>
      <c r="F3" s="73">
        <v>607000</v>
      </c>
      <c r="G3" s="73">
        <v>12601530.229633335</v>
      </c>
      <c r="H3" s="73">
        <v>3500753.2072989708</v>
      </c>
      <c r="I3" s="73">
        <v>12000</v>
      </c>
      <c r="J3" s="73">
        <v>12073799.799633335</v>
      </c>
      <c r="K3" s="73">
        <v>3460386.2469989704</v>
      </c>
      <c r="L3" s="73">
        <v>60500</v>
      </c>
      <c r="M3" s="79">
        <v>13434027.6163</v>
      </c>
      <c r="N3" s="73">
        <v>3457876.7969989702</v>
      </c>
      <c r="O3" s="73">
        <v>0</v>
      </c>
      <c r="P3" s="79">
        <v>9590289.3030916676</v>
      </c>
      <c r="Q3" s="73">
        <v>3457876.7969989702</v>
      </c>
      <c r="R3" s="73">
        <v>0</v>
      </c>
      <c r="S3" s="79">
        <v>9694401.1065916661</v>
      </c>
      <c r="T3" s="73">
        <v>3528534.0652589388</v>
      </c>
      <c r="U3" s="73">
        <v>0</v>
      </c>
      <c r="V3" s="79">
        <v>8290946.9774250006</v>
      </c>
      <c r="W3" s="73">
        <v>3462348.2145183175</v>
      </c>
      <c r="X3" s="73">
        <v>0</v>
      </c>
      <c r="Y3" s="79">
        <v>7406383.4179249993</v>
      </c>
      <c r="Z3" s="73">
        <v>3459490.6234583491</v>
      </c>
      <c r="AA3" s="73">
        <v>0</v>
      </c>
      <c r="AB3" s="79">
        <v>8203074.2012583334</v>
      </c>
      <c r="AC3" s="73">
        <v>3544389.6790188891</v>
      </c>
      <c r="AD3" s="73">
        <v>0</v>
      </c>
      <c r="AE3" s="73">
        <v>7845979.9912583334</v>
      </c>
      <c r="AF3" s="73">
        <v>3545731.1052668886</v>
      </c>
      <c r="AG3" s="73">
        <v>150000</v>
      </c>
      <c r="AH3" s="79">
        <v>8076567.8117583329</v>
      </c>
      <c r="AI3" s="73">
        <v>3545731.1052668886</v>
      </c>
      <c r="AJ3" s="73">
        <v>150000</v>
      </c>
      <c r="AK3" s="79">
        <v>7572724.5784250004</v>
      </c>
      <c r="AL3" s="73">
        <v>3645731.1052668886</v>
      </c>
      <c r="AM3" s="73">
        <v>150000</v>
      </c>
      <c r="AQ3" s="73">
        <f>AN27+AN28+AN32+AN33+AN29+AN35</f>
        <v>62102798</v>
      </c>
      <c r="AS3" s="73">
        <v>62102798</v>
      </c>
    </row>
    <row r="4" spans="1:55" ht="23.45" customHeight="1" thickTop="1" thickBot="1" x14ac:dyDescent="0.25">
      <c r="A4" s="431" t="s">
        <v>159</v>
      </c>
      <c r="B4" s="432"/>
      <c r="C4" s="433"/>
      <c r="D4" s="388" t="s">
        <v>160</v>
      </c>
      <c r="E4" s="388"/>
      <c r="F4" s="388"/>
      <c r="G4" s="388"/>
      <c r="H4" s="388"/>
      <c r="I4" s="388"/>
      <c r="J4" s="388"/>
      <c r="K4" s="388"/>
      <c r="L4" s="389"/>
      <c r="M4" s="388" t="s">
        <v>160</v>
      </c>
      <c r="N4" s="388"/>
      <c r="O4" s="388"/>
      <c r="P4" s="388"/>
      <c r="Q4" s="388"/>
      <c r="R4" s="388"/>
      <c r="S4" s="388"/>
      <c r="T4" s="388"/>
      <c r="U4" s="389"/>
      <c r="V4" s="388" t="s">
        <v>160</v>
      </c>
      <c r="W4" s="388"/>
      <c r="X4" s="388"/>
      <c r="Y4" s="388"/>
      <c r="Z4" s="388"/>
      <c r="AA4" s="388"/>
      <c r="AB4" s="388"/>
      <c r="AC4" s="388"/>
      <c r="AD4" s="389"/>
      <c r="AE4" s="388" t="s">
        <v>160</v>
      </c>
      <c r="AF4" s="388"/>
      <c r="AG4" s="388"/>
      <c r="AH4" s="388"/>
      <c r="AI4" s="388"/>
      <c r="AJ4" s="388"/>
      <c r="AK4" s="388"/>
      <c r="AL4" s="388"/>
      <c r="AM4" s="389"/>
      <c r="AN4" s="384"/>
      <c r="AO4" s="385"/>
      <c r="AP4" s="385"/>
      <c r="AQ4" s="386"/>
      <c r="AT4" s="74" t="e">
        <f>#REF!-436864.24</f>
        <v>#REF!</v>
      </c>
    </row>
    <row r="5" spans="1:55" ht="15.6" customHeight="1" thickTop="1" thickBot="1" x14ac:dyDescent="0.25">
      <c r="A5" s="434"/>
      <c r="B5" s="435"/>
      <c r="C5" s="436"/>
      <c r="D5" s="387" t="s">
        <v>161</v>
      </c>
      <c r="E5" s="388"/>
      <c r="F5" s="389"/>
      <c r="G5" s="387" t="s">
        <v>162</v>
      </c>
      <c r="H5" s="388"/>
      <c r="I5" s="389"/>
      <c r="J5" s="387" t="s">
        <v>163</v>
      </c>
      <c r="K5" s="388"/>
      <c r="L5" s="389"/>
      <c r="M5" s="387" t="s">
        <v>164</v>
      </c>
      <c r="N5" s="388"/>
      <c r="O5" s="389"/>
      <c r="P5" s="387" t="s">
        <v>165</v>
      </c>
      <c r="Q5" s="388"/>
      <c r="R5" s="389"/>
      <c r="S5" s="387" t="s">
        <v>166</v>
      </c>
      <c r="T5" s="388"/>
      <c r="U5" s="389"/>
      <c r="V5" s="387" t="s">
        <v>167</v>
      </c>
      <c r="W5" s="388"/>
      <c r="X5" s="389"/>
      <c r="Y5" s="387" t="s">
        <v>168</v>
      </c>
      <c r="Z5" s="388"/>
      <c r="AA5" s="389"/>
      <c r="AB5" s="387" t="s">
        <v>169</v>
      </c>
      <c r="AC5" s="388"/>
      <c r="AD5" s="389"/>
      <c r="AE5" s="387" t="s">
        <v>170</v>
      </c>
      <c r="AF5" s="388"/>
      <c r="AG5" s="389"/>
      <c r="AH5" s="387" t="s">
        <v>171</v>
      </c>
      <c r="AI5" s="388"/>
      <c r="AJ5" s="389"/>
      <c r="AK5" s="387" t="s">
        <v>172</v>
      </c>
      <c r="AL5" s="388"/>
      <c r="AM5" s="389"/>
      <c r="AN5" s="387" t="s">
        <v>173</v>
      </c>
      <c r="AO5" s="388"/>
      <c r="AP5" s="388"/>
      <c r="AQ5" s="389"/>
    </row>
    <row r="6" spans="1:55" ht="25.15" customHeight="1" thickTop="1" thickBot="1" x14ac:dyDescent="0.25">
      <c r="A6" s="434"/>
      <c r="B6" s="435"/>
      <c r="C6" s="436"/>
      <c r="D6" s="50" t="s">
        <v>174</v>
      </c>
      <c r="E6" s="51" t="s">
        <v>175</v>
      </c>
      <c r="F6" s="52" t="s">
        <v>176</v>
      </c>
      <c r="G6" s="50" t="s">
        <v>174</v>
      </c>
      <c r="H6" s="51" t="s">
        <v>175</v>
      </c>
      <c r="I6" s="52" t="s">
        <v>176</v>
      </c>
      <c r="J6" s="50" t="s">
        <v>174</v>
      </c>
      <c r="K6" s="51" t="s">
        <v>175</v>
      </c>
      <c r="L6" s="52" t="s">
        <v>176</v>
      </c>
      <c r="M6" s="50" t="s">
        <v>174</v>
      </c>
      <c r="N6" s="51" t="s">
        <v>175</v>
      </c>
      <c r="O6" s="52" t="s">
        <v>176</v>
      </c>
      <c r="P6" s="50" t="s">
        <v>174</v>
      </c>
      <c r="Q6" s="51" t="s">
        <v>175</v>
      </c>
      <c r="R6" s="52" t="s">
        <v>176</v>
      </c>
      <c r="S6" s="50" t="s">
        <v>174</v>
      </c>
      <c r="T6" s="51" t="s">
        <v>175</v>
      </c>
      <c r="U6" s="52" t="s">
        <v>176</v>
      </c>
      <c r="V6" s="50" t="s">
        <v>174</v>
      </c>
      <c r="W6" s="51" t="s">
        <v>175</v>
      </c>
      <c r="X6" s="52" t="s">
        <v>176</v>
      </c>
      <c r="Y6" s="50" t="s">
        <v>174</v>
      </c>
      <c r="Z6" s="51" t="s">
        <v>175</v>
      </c>
      <c r="AA6" s="52" t="s">
        <v>176</v>
      </c>
      <c r="AB6" s="50" t="s">
        <v>174</v>
      </c>
      <c r="AC6" s="51" t="s">
        <v>175</v>
      </c>
      <c r="AD6" s="52" t="s">
        <v>176</v>
      </c>
      <c r="AE6" s="50" t="s">
        <v>174</v>
      </c>
      <c r="AF6" s="51" t="s">
        <v>175</v>
      </c>
      <c r="AG6" s="52" t="s">
        <v>176</v>
      </c>
      <c r="AH6" s="50" t="s">
        <v>174</v>
      </c>
      <c r="AI6" s="51" t="s">
        <v>175</v>
      </c>
      <c r="AJ6" s="52" t="s">
        <v>176</v>
      </c>
      <c r="AK6" s="50" t="s">
        <v>174</v>
      </c>
      <c r="AL6" s="51" t="s">
        <v>175</v>
      </c>
      <c r="AM6" s="52" t="s">
        <v>176</v>
      </c>
      <c r="AN6" s="62" t="s">
        <v>174</v>
      </c>
      <c r="AO6" s="63" t="s">
        <v>175</v>
      </c>
      <c r="AP6" s="64" t="s">
        <v>176</v>
      </c>
      <c r="AQ6" s="66" t="s">
        <v>173</v>
      </c>
      <c r="AS6" s="62" t="s">
        <v>174</v>
      </c>
      <c r="AT6" s="63" t="s">
        <v>175</v>
      </c>
      <c r="AU6" s="62" t="s">
        <v>177</v>
      </c>
      <c r="AV6" s="64" t="s">
        <v>176</v>
      </c>
      <c r="AW6" s="66" t="s">
        <v>173</v>
      </c>
    </row>
    <row r="7" spans="1:55" ht="19.5" customHeight="1" thickTop="1" thickBot="1" x14ac:dyDescent="0.25">
      <c r="A7" s="434"/>
      <c r="B7" s="435"/>
      <c r="C7" s="436"/>
      <c r="D7" s="4">
        <f>D8+D9+D10+D11+D12+D13+D14+D19+D15+D17+D20+D26+D31+D36</f>
        <v>9734573.8169212136</v>
      </c>
      <c r="E7" s="5">
        <f>E8+E9+E10+E11+E12+E13+E14+E19+E20+E26+E36</f>
        <v>3459165.7869989704</v>
      </c>
      <c r="F7" s="5">
        <f>F8+F9+F10+F11+F12+F13+F14+F19+F20+F26+F36</f>
        <v>607000</v>
      </c>
      <c r="G7" s="4">
        <f>G8+G9+G10+G11+G12+G13+G14+G19+G15+G17+G20+G26+G31+G36</f>
        <v>12636530.229633335</v>
      </c>
      <c r="H7" s="5">
        <f>H8+H9+H10+H11+H12+H13+H14+H19+H20+H26+H36+H15</f>
        <v>3500753.2072989703</v>
      </c>
      <c r="I7" s="5">
        <f>I8+I9+I10+I11+I12+I13+I14+I19+I20+I26+I36</f>
        <v>12000</v>
      </c>
      <c r="J7" s="4">
        <f>J8+J9+J10+J11+J12+J13+J14+J19+J15+J17+J20+J26+J31+J36</f>
        <v>12108799.799633333</v>
      </c>
      <c r="K7" s="5">
        <f>K8+K9+K10+K11+K12+K13+K14+K19+K20+K26+K36</f>
        <v>3460386.2469989704</v>
      </c>
      <c r="L7" s="5">
        <f>L8+L9+L10+L11+L12+L13+L14+L19+L20+L26+L36</f>
        <v>60500</v>
      </c>
      <c r="M7" s="4">
        <f>M8+M9+M10+M11+M12+M13+M14+M19+M15+M17+M20+M26+M31+M36</f>
        <v>13434027.6163</v>
      </c>
      <c r="N7" s="5">
        <f>N8+N9+N10+N11+N12+N13+N14+N19+N20+N26+N36</f>
        <v>3457876.7969989702</v>
      </c>
      <c r="O7" s="5">
        <f>O8+O9+O10+O11+O12+O13+O14+O19+O20+O26+O36</f>
        <v>0</v>
      </c>
      <c r="P7" s="4">
        <f>P8+P9+P10+P11+P12+P13+P14+P19+P15+P17+P20+P26+P31+P36</f>
        <v>9590289.3030916676</v>
      </c>
      <c r="Q7" s="5">
        <f>Q8+Q9+Q10+Q11+Q12+Q13+Q14+Q19+Q20+Q26+Q36</f>
        <v>3457876.7969989702</v>
      </c>
      <c r="R7" s="5">
        <f>R8+R9+R10+R11+R12+R13+R14+R19+R20+R26+R36</f>
        <v>0</v>
      </c>
      <c r="S7" s="4">
        <f>S8+S9+S10+S11+S12+S13+S14+S19+S15+S17+S20+S26+S31+S36</f>
        <v>9694401.106591668</v>
      </c>
      <c r="T7" s="5">
        <f>T8+T9+T10+T11+T12+T13+T14+T19+T20+T26+T36+T17</f>
        <v>3528534.0652589388</v>
      </c>
      <c r="U7" s="5">
        <f>U8+U9+U10+U11+U12+U13+U14+U19+U20+U26+U36</f>
        <v>0</v>
      </c>
      <c r="V7" s="4">
        <f>V8+V9+V10+V11+V12+V13+V14+V19+V15+V17+V20+V26+V31+V36</f>
        <v>8290946.9774250006</v>
      </c>
      <c r="W7" s="5">
        <f>W8+W9+W10+W11+W12+W13+W14+W19+W20+W26+W36</f>
        <v>3462348.214518318</v>
      </c>
      <c r="X7" s="5">
        <f>X8+X9+X10+X11+X12+X13+X14+X19+X20+X26+X36</f>
        <v>0</v>
      </c>
      <c r="Y7" s="4">
        <f>Y8+Y9+Y10+Y11+Y12+Y13+Y14+Y19+Y15+Y17+Y20+Y26+Y31+Y36</f>
        <v>7406383.4179249993</v>
      </c>
      <c r="Z7" s="5">
        <f>Z8+Z9+Z10+Z11+Z12+Z13+Z14+Z19+Z20+Z26+Z36</f>
        <v>3459490.6234583491</v>
      </c>
      <c r="AA7" s="5">
        <f>AA8+AA9+AA10+AA11+AA12+AA13+AA14+AA19+AA20+AA26+AA36</f>
        <v>0</v>
      </c>
      <c r="AB7" s="4">
        <f>AB8+AB9+AB10+AB11+AB12+AB13+AB14+AB19+AB15+AB17+AB20+AB26+AB31+AB36</f>
        <v>8203074.2012583334</v>
      </c>
      <c r="AC7" s="5">
        <f>AC8+AC9+AC10+AC11+AC12+AC13+AC14+AC19+AC20+AC26+AC36</f>
        <v>3544007.559018889</v>
      </c>
      <c r="AD7" s="5">
        <f>AD8+AD9+AD10+AD11+AD12+AD13+AD14+AD19+AD20+AD26+AD36</f>
        <v>0</v>
      </c>
      <c r="AE7" s="4">
        <f>AE8+AE9+AE10+AE11+AE12+AE13+AE14+AE19+AE15+AE17+AE20+AE26+AE31+AE36</f>
        <v>7845979.9912583334</v>
      </c>
      <c r="AF7" s="5">
        <f>AF8+AF9+AF10+AF11+AF12+AF13+AF14+AF19+AF20+AF26+AF36</f>
        <v>3545731.1052668886</v>
      </c>
      <c r="AG7" s="5">
        <f>AG8+AG9+AG10+AG11+AG12+AG13+AG14+AG19+AG20+AG26+AG36</f>
        <v>150000</v>
      </c>
      <c r="AH7" s="4">
        <f>AH8+AH9+AH10+AH11+AH12+AH13+AH14+AH19+AH15+AH17+AH20+AH26+AH31+AH36</f>
        <v>8076567.8117583329</v>
      </c>
      <c r="AI7" s="5">
        <f>AI8+AI9+AI10+AI11+AI12+AI13+AI14+AI19+AI20+AI26+AI36+AI15</f>
        <v>3545731.1052668886</v>
      </c>
      <c r="AJ7" s="5">
        <f>AJ8+AJ9+AJ10+AJ11+AJ12+AJ13+AJ14+AJ19+AJ20+AJ26+AJ36</f>
        <v>150000</v>
      </c>
      <c r="AK7" s="4">
        <f>AK8+AK9+AK10+AK11+AK12+AK13+AK14+AK19+AK15+AK17+AK20+AK26+AK31+AK36</f>
        <v>7572724.5784250004</v>
      </c>
      <c r="AL7" s="5">
        <f>AL8+AL9+AL10+AL11+AL12+AL13+AL14+AL19+AL20+AL26+AL36+AL15</f>
        <v>3645731.1052668886</v>
      </c>
      <c r="AM7" s="5">
        <f>AM8+AM9+AM10+AM11+AM12+AM13+AM14+AM19+AM20+AM26+AM36</f>
        <v>150000</v>
      </c>
      <c r="AN7" s="4">
        <f>AN8+AN9+AN10+AN11+AN12+AN13+AN14+AN19+AN15+AN17+AN20+AN26+AN31+AN36</f>
        <v>114594298.8502212</v>
      </c>
      <c r="AO7" s="5">
        <f>AO8+AO9+AO10+AO11+AO12+AO13+AO14+AO19+AO20+AO26+AO36</f>
        <v>41897632.613350011</v>
      </c>
      <c r="AP7" s="5">
        <f>AP8+AP9+AP10+AP11+AP12+AP13+AP14+AP19+AP20+AP26+AP36</f>
        <v>1129500</v>
      </c>
      <c r="AQ7" s="67">
        <f>AQ8+AQ9+AQ10+AQ11+AQ12+AQ13+AQ14+AQ19+AQ20+AQ26+AQ36+AQ15+AQ17+AQ18</f>
        <v>157791431.46357122</v>
      </c>
    </row>
    <row r="8" spans="1:55" ht="35.25" customHeight="1" thickTop="1" thickBot="1" x14ac:dyDescent="0.3">
      <c r="A8" s="437" t="s">
        <v>178</v>
      </c>
      <c r="B8" s="85" t="s">
        <v>179</v>
      </c>
      <c r="C8" s="6"/>
      <c r="D8" s="81">
        <f>Planilha1!F10</f>
        <v>276419.44133333338</v>
      </c>
      <c r="E8" s="80">
        <f>Planilha2!E8</f>
        <v>443520.81776560197</v>
      </c>
      <c r="F8" s="81"/>
      <c r="G8" s="82">
        <f>Planilha1!G10</f>
        <v>270230.97133333329</v>
      </c>
      <c r="H8" s="82">
        <f>Planilha2!F8</f>
        <v>443520.81776560197</v>
      </c>
      <c r="I8" s="82"/>
      <c r="J8" s="80">
        <f>Planilha1!H10</f>
        <v>269030.97133333329</v>
      </c>
      <c r="K8" s="80">
        <f>Planilha2!G8</f>
        <v>443520.81776560197</v>
      </c>
      <c r="L8" s="80"/>
      <c r="M8" s="81">
        <f>Planilha1!I10</f>
        <v>269190.97133333329</v>
      </c>
      <c r="N8" s="80">
        <f>Planilha2!H8</f>
        <v>443520.81776560197</v>
      </c>
      <c r="O8" s="90"/>
      <c r="P8" s="82">
        <f>Planilha1!J10</f>
        <v>268838.56133333332</v>
      </c>
      <c r="Q8" s="82">
        <f>Planilha2!I8</f>
        <v>443520.81776560197</v>
      </c>
      <c r="R8" s="82"/>
      <c r="S8" s="80">
        <f>Planilha1!K10</f>
        <v>268838.56133333332</v>
      </c>
      <c r="T8" s="80">
        <f>Planilha2!J8</f>
        <v>444199.25496560195</v>
      </c>
      <c r="U8" s="80"/>
      <c r="V8" s="81">
        <f>Planilha1!L10</f>
        <v>268998.56133333332</v>
      </c>
      <c r="W8" s="80">
        <f>Planilha2!K8</f>
        <v>444516.18124076445</v>
      </c>
      <c r="X8" s="90"/>
      <c r="Y8" s="58">
        <f>Planilha1!M10</f>
        <v>268838.56133333332</v>
      </c>
      <c r="Z8" s="58">
        <f>Planilha2!L8</f>
        <v>444516.18124076445</v>
      </c>
      <c r="AA8" s="58"/>
      <c r="AB8" s="7">
        <f>Planilha1!N10</f>
        <v>385505.228</v>
      </c>
      <c r="AC8" s="7">
        <f>Planilha2!M8</f>
        <v>457120.81292285863</v>
      </c>
      <c r="AD8" s="7"/>
      <c r="AE8" s="89">
        <f>Planilha1!O10</f>
        <v>387665.228</v>
      </c>
      <c r="AF8" s="7">
        <f>Planilha2!N8</f>
        <v>457419.27600285853</v>
      </c>
      <c r="AG8" s="8"/>
      <c r="AH8" s="58">
        <f>Planilha1!P10</f>
        <v>368768.94800000003</v>
      </c>
      <c r="AI8" s="58">
        <f>Planilha2!O8</f>
        <v>457419.27600285853</v>
      </c>
      <c r="AJ8" s="58"/>
      <c r="AK8" s="7">
        <f>Planilha1!Q10</f>
        <v>240312.78133333335</v>
      </c>
      <c r="AL8" s="7">
        <f>Planilha2!P8</f>
        <v>457419.27600285853</v>
      </c>
      <c r="AM8" s="7"/>
      <c r="AN8" s="7">
        <f>AK8+AH8+AE8+AB8+Y8+V8+S8+P8+M8+J8+G8+D8</f>
        <v>3542638.7859999998</v>
      </c>
      <c r="AO8" s="7">
        <f>AL8+AI8+AF8+AC8+Z8+W8+T8+Q8+N8+K8+H8+E8</f>
        <v>5380214.3472065749</v>
      </c>
      <c r="AP8" s="7">
        <f>AM8+AJ8+AG8+AD8+AA8+X8+U8+R8+O8+L8+I8+F8</f>
        <v>0</v>
      </c>
      <c r="AQ8" s="70">
        <f t="shared" ref="AQ8:AQ14" si="1">AP8+AO8+AN8</f>
        <v>8922853.1332065742</v>
      </c>
      <c r="AS8" s="7">
        <v>3542638.7860000003</v>
      </c>
      <c r="AT8" s="7">
        <v>5380214.3472065749</v>
      </c>
      <c r="AU8" s="7"/>
      <c r="AV8" s="7"/>
      <c r="AW8" s="70">
        <f t="shared" ref="AW8:AW14" si="2">SUM(AS8:AV8)</f>
        <v>8922853.1332065761</v>
      </c>
      <c r="AZ8"/>
      <c r="BA8"/>
      <c r="BB8"/>
      <c r="BC8"/>
    </row>
    <row r="9" spans="1:55" ht="30.75" customHeight="1" thickTop="1" thickBot="1" x14ac:dyDescent="0.3">
      <c r="A9" s="438"/>
      <c r="B9" s="59" t="s">
        <v>180</v>
      </c>
      <c r="C9" s="13"/>
      <c r="D9" s="81">
        <f>Planilha1!F11</f>
        <v>165200.99748333334</v>
      </c>
      <c r="E9" s="80">
        <f>Planilha2!E9</f>
        <v>167839.20328193009</v>
      </c>
      <c r="F9" s="87"/>
      <c r="G9" s="82">
        <f>Planilha1!G11</f>
        <v>158840.99748333334</v>
      </c>
      <c r="H9" s="82">
        <f>Planilha2!F9</f>
        <v>167839.20328193009</v>
      </c>
      <c r="I9" s="84"/>
      <c r="J9" s="80">
        <f>Planilha1!H11</f>
        <v>158200.99748333334</v>
      </c>
      <c r="K9" s="80">
        <f>Planilha2!G9</f>
        <v>167839.20328193009</v>
      </c>
      <c r="L9" s="11"/>
      <c r="M9" s="81">
        <f>Planilha1!I11</f>
        <v>74307.664149999997</v>
      </c>
      <c r="N9" s="80">
        <f>Planilha2!H9</f>
        <v>167839.20328193009</v>
      </c>
      <c r="O9" s="87"/>
      <c r="P9" s="82">
        <f>Planilha1!J11</f>
        <v>74495.254149999993</v>
      </c>
      <c r="Q9" s="82">
        <f>Planilha2!I9</f>
        <v>167839.20328193009</v>
      </c>
      <c r="R9" s="84"/>
      <c r="S9" s="80">
        <f>Planilha1!K11</f>
        <v>73935.254149999993</v>
      </c>
      <c r="T9" s="80">
        <f>Planilha2!J9</f>
        <v>167839.20328193009</v>
      </c>
      <c r="U9" s="11"/>
      <c r="V9" s="81">
        <f>Planilha1!L11</f>
        <v>74495.254149999993</v>
      </c>
      <c r="W9" s="80">
        <f>Planilha2!K9</f>
        <v>168029.34698978241</v>
      </c>
      <c r="X9" s="87"/>
      <c r="Y9" s="58">
        <f>Planilha1!M11</f>
        <v>75935.254149999993</v>
      </c>
      <c r="Z9" s="58">
        <f>Planilha2!L9</f>
        <v>168029.34698978241</v>
      </c>
      <c r="AA9" s="84"/>
      <c r="AB9" s="7">
        <f>Planilha1!N11</f>
        <v>74495.254149999993</v>
      </c>
      <c r="AC9" s="7">
        <f>Planilha2!M9</f>
        <v>172681.43745357776</v>
      </c>
      <c r="AD9" s="11"/>
      <c r="AE9" s="89">
        <f>Planilha1!O11</f>
        <v>75935.254149999993</v>
      </c>
      <c r="AF9" s="7">
        <f>Planilha2!N9</f>
        <v>172837.31115757779</v>
      </c>
      <c r="AG9" s="87"/>
      <c r="AH9" s="58">
        <f>Planilha1!P11</f>
        <v>74127.914149999997</v>
      </c>
      <c r="AI9" s="58">
        <f>Planilha2!O9</f>
        <v>172837.31115757779</v>
      </c>
      <c r="AJ9" s="84"/>
      <c r="AK9" s="7">
        <f>Planilha1!Q11</f>
        <v>62828.994149999999</v>
      </c>
      <c r="AL9" s="7">
        <f>Planilha2!P9</f>
        <v>172837.31115757779</v>
      </c>
      <c r="AM9" s="11"/>
      <c r="AN9" s="7">
        <f t="shared" ref="AN9:AO11" si="3">AK9+AH9+AE9+AB9+Y9+V9+S9+P9+M9+J9+G9+D9</f>
        <v>1142799.0898</v>
      </c>
      <c r="AO9" s="7">
        <f t="shared" si="3"/>
        <v>2034287.2845974569</v>
      </c>
      <c r="AP9" s="11">
        <f t="shared" ref="AP9:AP18" si="4">AM9+AJ9+AG9+AD9+AA9+X9+U9+R9+O9+L9+I9+F9</f>
        <v>0</v>
      </c>
      <c r="AQ9" s="68">
        <f t="shared" si="1"/>
        <v>3177086.3743974566</v>
      </c>
      <c r="AS9" s="11">
        <v>1142799.0897999997</v>
      </c>
      <c r="AT9" s="11">
        <v>2034287.2845974565</v>
      </c>
      <c r="AU9" s="11"/>
      <c r="AV9" s="11"/>
      <c r="AW9" s="68">
        <f t="shared" si="2"/>
        <v>3177086.3743974562</v>
      </c>
      <c r="AZ9"/>
      <c r="BA9"/>
      <c r="BB9"/>
      <c r="BC9"/>
    </row>
    <row r="10" spans="1:55" ht="36" customHeight="1" thickTop="1" thickBot="1" x14ac:dyDescent="0.25">
      <c r="A10" s="438"/>
      <c r="B10" s="59" t="s">
        <v>181</v>
      </c>
      <c r="C10" s="12"/>
      <c r="D10" s="81">
        <f>Planilha1!F12</f>
        <v>60297.916799999999</v>
      </c>
      <c r="E10" s="80">
        <f>Planilha2!E10</f>
        <v>105744.36357968859</v>
      </c>
      <c r="F10" s="14"/>
      <c r="G10" s="82">
        <f>Planilha1!G12</f>
        <v>51926.676800000001</v>
      </c>
      <c r="H10" s="82">
        <f>Planilha2!F10</f>
        <v>105744.36357968859</v>
      </c>
      <c r="I10" s="43"/>
      <c r="J10" s="80">
        <f>Planilha1!H12</f>
        <v>52776.676800000001</v>
      </c>
      <c r="K10" s="80">
        <f>Planilha2!G10</f>
        <v>105744.36357968859</v>
      </c>
      <c r="L10" s="11"/>
      <c r="M10" s="81">
        <f>Planilha1!I12</f>
        <v>51626.676800000001</v>
      </c>
      <c r="N10" s="80">
        <f>Planilha2!H10</f>
        <v>105744.36357968859</v>
      </c>
      <c r="O10" s="14"/>
      <c r="P10" s="82">
        <f>Planilha1!J12</f>
        <v>52699.853466666667</v>
      </c>
      <c r="Q10" s="82">
        <f>Planilha2!I10</f>
        <v>105744.36357968859</v>
      </c>
      <c r="R10" s="43"/>
      <c r="S10" s="80">
        <f>Planilha1!K12</f>
        <v>54533.610966666667</v>
      </c>
      <c r="T10" s="80">
        <f>Planilha2!J10</f>
        <v>105744.36357968859</v>
      </c>
      <c r="U10" s="11"/>
      <c r="V10" s="81">
        <f>Planilha1!L12</f>
        <v>52311.41096666667</v>
      </c>
      <c r="W10" s="80">
        <f>Planilha2!K10</f>
        <v>105744.36357968859</v>
      </c>
      <c r="X10" s="14"/>
      <c r="Y10" s="58">
        <f>Planilha1!M12</f>
        <v>51161.41096666667</v>
      </c>
      <c r="Z10" s="58">
        <f>Planilha2!L10</f>
        <v>105744.36357968859</v>
      </c>
      <c r="AA10" s="43"/>
      <c r="AB10" s="7">
        <f>Planilha1!N12</f>
        <v>227711.41096666665</v>
      </c>
      <c r="AC10" s="7">
        <f>Planilha2!M10</f>
        <v>108925.25950138328</v>
      </c>
      <c r="AD10" s="11"/>
      <c r="AE10" s="89">
        <f>Planilha1!O12-AG10</f>
        <v>76161.410966666648</v>
      </c>
      <c r="AF10" s="7">
        <f>Planilha2!N10</f>
        <v>108972.97270938328</v>
      </c>
      <c r="AG10" s="86">
        <v>150000</v>
      </c>
      <c r="AH10" s="58">
        <f>Planilha1!P12-AJ10</f>
        <v>77311.410966666648</v>
      </c>
      <c r="AI10" s="58">
        <f>Planilha2!O10</f>
        <v>108972.97270938328</v>
      </c>
      <c r="AJ10" s="43">
        <v>150000</v>
      </c>
      <c r="AK10" s="7">
        <f>Planilha1!Q12-AM10</f>
        <v>62541.480966666655</v>
      </c>
      <c r="AL10" s="7">
        <f>Planilha2!P10</f>
        <v>108972.97270938328</v>
      </c>
      <c r="AM10" s="11">
        <v>150000</v>
      </c>
      <c r="AN10" s="7">
        <f t="shared" si="3"/>
        <v>871059.94743333338</v>
      </c>
      <c r="AO10" s="7">
        <f t="shared" si="3"/>
        <v>1281799.086267042</v>
      </c>
      <c r="AP10" s="11">
        <f t="shared" si="4"/>
        <v>450000</v>
      </c>
      <c r="AQ10" s="68">
        <f t="shared" si="1"/>
        <v>2602859.0337003754</v>
      </c>
      <c r="AS10" s="11">
        <f>1321059.94743333-AV10</f>
        <v>871059.94743332989</v>
      </c>
      <c r="AT10" s="11">
        <v>1281799.0862670415</v>
      </c>
      <c r="AU10" s="11"/>
      <c r="AV10" s="11">
        <v>450000</v>
      </c>
      <c r="AW10" s="68">
        <f t="shared" si="2"/>
        <v>2602859.0337003712</v>
      </c>
      <c r="AZ10" s="73"/>
      <c r="BA10" s="73"/>
      <c r="BB10" s="73"/>
    </row>
    <row r="11" spans="1:55" ht="24" thickTop="1" thickBot="1" x14ac:dyDescent="0.25">
      <c r="A11" s="439"/>
      <c r="B11" s="60" t="s">
        <v>182</v>
      </c>
      <c r="C11" s="15"/>
      <c r="D11" s="81">
        <f>Planilha1!F13</f>
        <v>68353.400383333341</v>
      </c>
      <c r="E11" s="80">
        <f>Planilha2!E11</f>
        <v>82319.94246052271</v>
      </c>
      <c r="F11" s="17"/>
      <c r="G11" s="82">
        <f>Planilha1!G13</f>
        <v>61455.500383333332</v>
      </c>
      <c r="H11" s="82">
        <f>Planilha2!F11</f>
        <v>82319.94246052271</v>
      </c>
      <c r="I11" s="44"/>
      <c r="J11" s="80">
        <f>Planilha1!H13</f>
        <v>61155.500383333332</v>
      </c>
      <c r="K11" s="80">
        <f>Planilha2!G11</f>
        <v>82319.94246052271</v>
      </c>
      <c r="L11" s="16"/>
      <c r="M11" s="81">
        <f>Planilha1!I13</f>
        <v>61155.500383333332</v>
      </c>
      <c r="N11" s="80">
        <f>Planilha2!H11</f>
        <v>82319.94246052271</v>
      </c>
      <c r="O11" s="17"/>
      <c r="P11" s="82">
        <f>Planilha1!J13</f>
        <v>61039.360383333333</v>
      </c>
      <c r="Q11" s="82">
        <f>Planilha2!I11</f>
        <v>82319.94246052271</v>
      </c>
      <c r="R11" s="44"/>
      <c r="S11" s="80">
        <f>Planilha1!K13</f>
        <v>61039.360383333333</v>
      </c>
      <c r="T11" s="80">
        <f>Planilha2!J11</f>
        <v>82319.94246052271</v>
      </c>
      <c r="U11" s="16"/>
      <c r="V11" s="81">
        <f>Planilha1!L13</f>
        <v>61039.360383333333</v>
      </c>
      <c r="W11" s="80">
        <f>Planilha2!K11</f>
        <v>82319.94246052271</v>
      </c>
      <c r="X11" s="17"/>
      <c r="Y11" s="58">
        <f>Planilha1!M13</f>
        <v>61039.360383333333</v>
      </c>
      <c r="Z11" s="58">
        <f>Planilha2!L11</f>
        <v>82319.94246052271</v>
      </c>
      <c r="AA11" s="44"/>
      <c r="AB11" s="7">
        <f>Planilha1!N13</f>
        <v>137706.02705</v>
      </c>
      <c r="AC11" s="7">
        <f>Planilha2!M11</f>
        <v>84695.762370943616</v>
      </c>
      <c r="AD11" s="16"/>
      <c r="AE11" s="89">
        <f>Planilha1!O13</f>
        <v>137706.02705</v>
      </c>
      <c r="AF11" s="7">
        <f>Planilha2!N11</f>
        <v>84705.777530943626</v>
      </c>
      <c r="AG11" s="17"/>
      <c r="AH11" s="58">
        <f>Planilha1!P13</f>
        <v>137706.02705</v>
      </c>
      <c r="AI11" s="58">
        <f>Planilha2!O11</f>
        <v>84705.777530943626</v>
      </c>
      <c r="AJ11" s="44"/>
      <c r="AK11" s="7">
        <f>Planilha1!Q13</f>
        <v>47523.180383333325</v>
      </c>
      <c r="AL11" s="7">
        <f>Planilha2!P11</f>
        <v>84705.777530943626</v>
      </c>
      <c r="AM11" s="16"/>
      <c r="AN11" s="7">
        <f t="shared" si="3"/>
        <v>956918.60459999985</v>
      </c>
      <c r="AO11" s="7">
        <f t="shared" si="3"/>
        <v>997372.63464795635</v>
      </c>
      <c r="AP11" s="16">
        <f t="shared" si="4"/>
        <v>0</v>
      </c>
      <c r="AQ11" s="69">
        <f t="shared" si="1"/>
        <v>1954291.2392479563</v>
      </c>
      <c r="AS11" s="16">
        <v>956918.60460000008</v>
      </c>
      <c r="AT11" s="16">
        <v>997372.63464795612</v>
      </c>
      <c r="AU11" s="16"/>
      <c r="AV11" s="16"/>
      <c r="AW11" s="69">
        <f t="shared" si="2"/>
        <v>1954291.2392479563</v>
      </c>
      <c r="AZ11" s="73"/>
      <c r="BA11" s="73"/>
      <c r="BB11" s="73"/>
    </row>
    <row r="12" spans="1:55" ht="42.75" customHeight="1" thickTop="1" thickBot="1" x14ac:dyDescent="0.25">
      <c r="A12" s="440" t="s">
        <v>183</v>
      </c>
      <c r="B12" s="55" t="s">
        <v>184</v>
      </c>
      <c r="C12" s="18"/>
      <c r="D12" s="81">
        <f>Planilha1!F14</f>
        <v>238786.3731</v>
      </c>
      <c r="E12" s="80">
        <f>Planilha2!E12</f>
        <v>95589.579566476197</v>
      </c>
      <c r="F12" s="19"/>
      <c r="G12" s="82">
        <f>Planilha1!G14</f>
        <v>239217.96309999996</v>
      </c>
      <c r="H12" s="82">
        <f>Planilha2!F12</f>
        <v>95589.579566476197</v>
      </c>
      <c r="I12" s="45"/>
      <c r="J12" s="80">
        <f>Planilha1!H14</f>
        <v>239217.96309999996</v>
      </c>
      <c r="K12" s="80">
        <f>Planilha2!G12</f>
        <v>95589.579566476197</v>
      </c>
      <c r="L12" s="7"/>
      <c r="M12" s="81">
        <f>Planilha1!I14</f>
        <v>239217.96309999996</v>
      </c>
      <c r="N12" s="80">
        <f>Planilha2!H12</f>
        <v>95589.579566476197</v>
      </c>
      <c r="O12" s="19"/>
      <c r="P12" s="82">
        <f>Planilha1!J14</f>
        <v>68976.963100000008</v>
      </c>
      <c r="Q12" s="82">
        <f>Planilha2!I12</f>
        <v>95589.579566476197</v>
      </c>
      <c r="R12" s="45"/>
      <c r="S12" s="80">
        <f>Planilha1!K14</f>
        <v>68976.963100000008</v>
      </c>
      <c r="T12" s="80">
        <f>Planilha2!J12</f>
        <v>95589.579566476197</v>
      </c>
      <c r="U12" s="7"/>
      <c r="V12" s="81">
        <f>Planilha1!L14</f>
        <v>68976.963100000008</v>
      </c>
      <c r="W12" s="80">
        <f>Planilha2!K12</f>
        <v>95589.579566476197</v>
      </c>
      <c r="X12" s="19"/>
      <c r="Y12" s="58">
        <f>Planilha1!M14</f>
        <v>68976.963100000008</v>
      </c>
      <c r="Z12" s="58">
        <f>Planilha2!L12</f>
        <v>95589.579566476197</v>
      </c>
      <c r="AA12" s="45"/>
      <c r="AB12" s="7">
        <f>Planilha1!N14</f>
        <v>68976.963100000008</v>
      </c>
      <c r="AC12" s="7">
        <f>Planilha2!M12</f>
        <v>98268.210871935255</v>
      </c>
      <c r="AD12" s="7"/>
      <c r="AE12" s="89">
        <f>Planilha1!O14</f>
        <v>68976.963100000008</v>
      </c>
      <c r="AF12" s="7">
        <f>Planilha2!N12</f>
        <v>98384.705079935258</v>
      </c>
      <c r="AG12" s="19"/>
      <c r="AH12" s="58">
        <f>Planilha1!P14</f>
        <v>68976.963100000008</v>
      </c>
      <c r="AI12" s="58">
        <f>Planilha2!O12</f>
        <v>98384.705079935258</v>
      </c>
      <c r="AJ12" s="45"/>
      <c r="AK12" s="7">
        <f>Planilha1!Q14</f>
        <v>68976.963100000008</v>
      </c>
      <c r="AL12" s="7">
        <f>Planilha2!P12</f>
        <v>98384.705079935258</v>
      </c>
      <c r="AM12" s="7"/>
      <c r="AN12" s="7">
        <f t="shared" ref="AN12:AN18" si="5">AK12+AH12+AE12+AB12+Y12+V12+S12+P12+M12+J12+G12+D12</f>
        <v>1508255.9671999998</v>
      </c>
      <c r="AO12" s="7">
        <f t="shared" ref="AO12:AO18" si="6">AL12+AI12+AF12+AC12+Z12+W12+T12+Q12+N12+K12+H12+E12</f>
        <v>1158138.9626435505</v>
      </c>
      <c r="AP12" s="7">
        <f t="shared" si="4"/>
        <v>0</v>
      </c>
      <c r="AQ12" s="70">
        <f t="shared" si="1"/>
        <v>2666394.9298435505</v>
      </c>
      <c r="AS12" s="7">
        <v>1508255.9672000003</v>
      </c>
      <c r="AT12" s="7">
        <v>1158138.9626435505</v>
      </c>
      <c r="AU12" s="7"/>
      <c r="AV12" s="7"/>
      <c r="AW12" s="70">
        <f t="shared" si="2"/>
        <v>2666394.9298435505</v>
      </c>
    </row>
    <row r="13" spans="1:55" ht="41.25" customHeight="1" thickTop="1" thickBot="1" x14ac:dyDescent="0.25">
      <c r="A13" s="441"/>
      <c r="B13" s="85" t="s">
        <v>38</v>
      </c>
      <c r="C13" s="10"/>
      <c r="D13" s="81">
        <f>Planilha1!F15</f>
        <v>49811.929599999996</v>
      </c>
      <c r="E13" s="80">
        <f>Planilha2!E13</f>
        <v>106268.71917519812</v>
      </c>
      <c r="F13" s="87"/>
      <c r="G13" s="82">
        <f>Planilha1!G15</f>
        <v>41750.819600000003</v>
      </c>
      <c r="H13" s="82">
        <f>Planilha2!F13</f>
        <v>106268.71917519812</v>
      </c>
      <c r="I13" s="84"/>
      <c r="J13" s="80">
        <f>Planilha1!H15</f>
        <v>41750.819600000003</v>
      </c>
      <c r="K13" s="80">
        <f>Planilha2!G13</f>
        <v>106268.71917519812</v>
      </c>
      <c r="L13" s="11"/>
      <c r="M13" s="81">
        <f>Planilha1!I15</f>
        <v>44250.819600000003</v>
      </c>
      <c r="N13" s="80">
        <f>Planilha2!H13</f>
        <v>106268.71917519812</v>
      </c>
      <c r="O13" s="87"/>
      <c r="P13" s="82">
        <f>Planilha1!J15</f>
        <v>41651.679600000003</v>
      </c>
      <c r="Q13" s="82">
        <f>Planilha2!I13</f>
        <v>106268.71917519812</v>
      </c>
      <c r="R13" s="84"/>
      <c r="S13" s="80">
        <f>Planilha1!K15</f>
        <v>41651.679600000003</v>
      </c>
      <c r="T13" s="80">
        <f>Planilha2!J13</f>
        <v>106268.71917519812</v>
      </c>
      <c r="U13" s="11"/>
      <c r="V13" s="81">
        <f>Planilha1!L15</f>
        <v>43851.679600000003</v>
      </c>
      <c r="W13" s="80">
        <f>Planilha2!K13</f>
        <v>106363.1855286685</v>
      </c>
      <c r="X13" s="87"/>
      <c r="Y13" s="58">
        <f>Planilha1!M15</f>
        <v>42631.679600000003</v>
      </c>
      <c r="Z13" s="58">
        <f>Planilha2!L13</f>
        <v>106363.1855286685</v>
      </c>
      <c r="AA13" s="84"/>
      <c r="AB13" s="7">
        <f>Planilha1!N15</f>
        <v>41651.679600000003</v>
      </c>
      <c r="AC13" s="7">
        <f>Planilha2!M13</f>
        <v>108809.77330728213</v>
      </c>
      <c r="AD13" s="11"/>
      <c r="AE13" s="89">
        <f>Planilha1!O15</f>
        <v>41651.679600000003</v>
      </c>
      <c r="AF13" s="7">
        <f>Planilha2!N13</f>
        <v>108841.40004328212</v>
      </c>
      <c r="AG13" s="87"/>
      <c r="AH13" s="58">
        <f>Planilha1!P15</f>
        <v>111726.9001</v>
      </c>
      <c r="AI13" s="58">
        <f>Planilha2!O13</f>
        <v>108841.40004328212</v>
      </c>
      <c r="AJ13" s="84"/>
      <c r="AK13" s="7">
        <f>Planilha1!Q15</f>
        <v>41726.900099999999</v>
      </c>
      <c r="AL13" s="7">
        <f>Planilha2!P13</f>
        <v>108841.40004328212</v>
      </c>
      <c r="AM13" s="11"/>
      <c r="AN13" s="11">
        <f t="shared" si="5"/>
        <v>584108.26620000019</v>
      </c>
      <c r="AO13" s="11">
        <f t="shared" si="6"/>
        <v>1285672.659545654</v>
      </c>
      <c r="AP13" s="11">
        <f t="shared" si="4"/>
        <v>0</v>
      </c>
      <c r="AQ13" s="68">
        <f>AP13+AO13+AN13</f>
        <v>1869780.9257456542</v>
      </c>
      <c r="AS13" s="11">
        <v>584108.26620000007</v>
      </c>
      <c r="AT13" s="11">
        <v>1285672.6595456542</v>
      </c>
      <c r="AU13" s="11"/>
      <c r="AV13" s="11"/>
      <c r="AW13" s="68">
        <f t="shared" si="2"/>
        <v>1869780.9257456544</v>
      </c>
      <c r="AZ13" s="74"/>
      <c r="BA13" s="74"/>
      <c r="BB13" s="74"/>
      <c r="BC13" s="74"/>
    </row>
    <row r="14" spans="1:55" ht="82.5" customHeight="1" thickTop="1" thickBot="1" x14ac:dyDescent="0.25">
      <c r="A14" s="85" t="s">
        <v>185</v>
      </c>
      <c r="B14" s="85" t="s">
        <v>186</v>
      </c>
      <c r="C14" s="20"/>
      <c r="D14" s="118">
        <f>Planilha1!F17+Planilha1!F18</f>
        <v>530924.63248333335</v>
      </c>
      <c r="E14" s="120">
        <f>Planilha2!E15</f>
        <v>276612.97283857438</v>
      </c>
      <c r="F14" s="88"/>
      <c r="G14" s="119">
        <f>Planilha1!G17+Planilha1!G18</f>
        <v>493444.94415000005</v>
      </c>
      <c r="H14" s="119">
        <f>Planilha2!F15</f>
        <v>280489.38313857437</v>
      </c>
      <c r="I14" s="83"/>
      <c r="J14" s="120">
        <f>Planilha1!H17+Planilha1!H18</f>
        <v>485154.94415000005</v>
      </c>
      <c r="K14" s="120">
        <f>Planilha2!G15</f>
        <v>276612.97283857438</v>
      </c>
      <c r="L14" s="21"/>
      <c r="M14" s="118">
        <f>Planilha1!I17+Planilha1!I18</f>
        <v>508804.94415000005</v>
      </c>
      <c r="N14" s="120">
        <f>Planilha2!H15</f>
        <v>276612.97283857438</v>
      </c>
      <c r="O14" s="88"/>
      <c r="P14" s="118">
        <f>Planilha1!J17+Planilha1!J18</f>
        <v>485809.95977500005</v>
      </c>
      <c r="Q14" s="119">
        <f>Planilha2!I15</f>
        <v>276612.97283857438</v>
      </c>
      <c r="R14" s="83"/>
      <c r="S14" s="120">
        <f>Planilha1!K17+Planilha1!K18</f>
        <v>1124669.9597749999</v>
      </c>
      <c r="T14" s="120">
        <f>Planilha2!J15</f>
        <v>276612.97283857438</v>
      </c>
      <c r="U14" s="21"/>
      <c r="V14" s="118">
        <f>Planilha1!L17+Planilha1!L18</f>
        <v>1148069.9597749999</v>
      </c>
      <c r="W14" s="120">
        <f>Planilha2!K15</f>
        <v>276612.97283857438</v>
      </c>
      <c r="X14" s="88"/>
      <c r="Y14" s="119">
        <f>Planilha1!M17+Planilha1!M18</f>
        <v>524669.959775</v>
      </c>
      <c r="Z14" s="119">
        <f>Planilha2!L15</f>
        <v>276612.97283857438</v>
      </c>
      <c r="AA14" s="83"/>
      <c r="AB14" s="120">
        <f>Planilha1!N17+Planilha1!N18</f>
        <v>524669.959775</v>
      </c>
      <c r="AC14" s="120">
        <f>Planilha2!M15</f>
        <v>283972.77958574839</v>
      </c>
      <c r="AD14" s="21"/>
      <c r="AE14" s="118">
        <f>Planilha1!O17+Planilha1!O18</f>
        <v>548069.959775</v>
      </c>
      <c r="AF14" s="120">
        <f>Planilha2!N15</f>
        <v>284303.10695374839</v>
      </c>
      <c r="AG14" s="88"/>
      <c r="AH14" s="118">
        <f>Planilha1!P17+Planilha1!P18</f>
        <v>549652.75977500004</v>
      </c>
      <c r="AI14" s="119">
        <f>Planilha2!O15</f>
        <v>284303.10695374839</v>
      </c>
      <c r="AJ14" s="83"/>
      <c r="AK14" s="120">
        <f>Planilha1!Q17+Planilha1!Q18</f>
        <v>549652.75977500004</v>
      </c>
      <c r="AL14" s="120">
        <f>Planilha2!P15</f>
        <v>284303.10695374839</v>
      </c>
      <c r="AM14" s="21"/>
      <c r="AN14" s="21">
        <f t="shared" si="5"/>
        <v>7473594.7431333326</v>
      </c>
      <c r="AO14" s="21">
        <f t="shared" si="6"/>
        <v>3353662.2934555886</v>
      </c>
      <c r="AP14" s="21">
        <f t="shared" si="4"/>
        <v>0</v>
      </c>
      <c r="AQ14" s="91">
        <f t="shared" si="1"/>
        <v>10827257.036588922</v>
      </c>
      <c r="AS14" s="120">
        <f>Planilha1!D17+Planilha1!D18</f>
        <v>7473594.7431333354</v>
      </c>
      <c r="AT14" s="120">
        <f>Planilha2!D15</f>
        <v>3353662.2934555886</v>
      </c>
      <c r="AU14" s="21"/>
      <c r="AV14" s="21"/>
      <c r="AW14" s="91">
        <f t="shared" si="2"/>
        <v>10827257.036588924</v>
      </c>
      <c r="AZ14" s="3">
        <v>10205000</v>
      </c>
      <c r="BA14" s="3">
        <v>50000</v>
      </c>
      <c r="BB14" s="3">
        <v>0</v>
      </c>
      <c r="BC14" s="3">
        <v>10255000</v>
      </c>
    </row>
    <row r="15" spans="1:55" ht="38.450000000000003" customHeight="1" thickTop="1" x14ac:dyDescent="0.2">
      <c r="A15" s="424" t="s">
        <v>187</v>
      </c>
      <c r="B15" s="424" t="s">
        <v>188</v>
      </c>
      <c r="C15" s="26" t="s">
        <v>189</v>
      </c>
      <c r="D15" s="416">
        <f>Planilha1!F20+Planilha1!F21</f>
        <v>87500</v>
      </c>
      <c r="E15" s="394"/>
      <c r="F15" s="418"/>
      <c r="G15" s="400">
        <f>Planilha1!G20+Planilha1!G21</f>
        <v>0</v>
      </c>
      <c r="H15" s="400">
        <v>20000</v>
      </c>
      <c r="I15" s="400"/>
      <c r="J15" s="394">
        <v>0</v>
      </c>
      <c r="K15" s="394">
        <v>0</v>
      </c>
      <c r="L15" s="394"/>
      <c r="M15" s="416">
        <v>0</v>
      </c>
      <c r="N15" s="394">
        <v>0</v>
      </c>
      <c r="O15" s="418"/>
      <c r="P15" s="400">
        <v>0</v>
      </c>
      <c r="Q15" s="400"/>
      <c r="R15" s="400"/>
      <c r="S15" s="394">
        <v>0</v>
      </c>
      <c r="T15" s="394">
        <v>0</v>
      </c>
      <c r="U15" s="394"/>
      <c r="V15" s="416">
        <v>0</v>
      </c>
      <c r="W15" s="394">
        <v>0</v>
      </c>
      <c r="X15" s="418"/>
      <c r="Y15" s="400">
        <v>0</v>
      </c>
      <c r="Z15" s="400">
        <v>0</v>
      </c>
      <c r="AA15" s="400"/>
      <c r="AB15" s="394">
        <v>0</v>
      </c>
      <c r="AC15" s="394">
        <v>0</v>
      </c>
      <c r="AD15" s="394"/>
      <c r="AE15" s="416">
        <v>0</v>
      </c>
      <c r="AF15" s="394">
        <v>0</v>
      </c>
      <c r="AG15" s="418"/>
      <c r="AH15" s="400">
        <v>100000</v>
      </c>
      <c r="AI15" s="400">
        <v>0</v>
      </c>
      <c r="AJ15" s="400"/>
      <c r="AK15" s="394">
        <v>130000</v>
      </c>
      <c r="AL15" s="394">
        <v>100000</v>
      </c>
      <c r="AM15" s="394"/>
      <c r="AN15" s="394">
        <f t="shared" si="5"/>
        <v>317500</v>
      </c>
      <c r="AO15" s="394">
        <f t="shared" si="6"/>
        <v>120000</v>
      </c>
      <c r="AP15" s="394">
        <f t="shared" si="4"/>
        <v>0</v>
      </c>
      <c r="AQ15" s="390">
        <f t="shared" ref="AQ15:AQ25" si="7">AP15+AO15+AN15</f>
        <v>437500</v>
      </c>
      <c r="AS15" s="420">
        <f>Planilha1!F20+Planilha1!D21</f>
        <v>317500</v>
      </c>
      <c r="AT15" s="394">
        <f>Planilha2!D18+Planilha2!D19</f>
        <v>120000</v>
      </c>
      <c r="AU15" s="394"/>
      <c r="AV15" s="394"/>
      <c r="AW15" s="390">
        <f t="shared" ref="AW15:AW25" si="8">SUM(AS15:AV15)</f>
        <v>437500</v>
      </c>
    </row>
    <row r="16" spans="1:55" ht="36" customHeight="1" thickBot="1" x14ac:dyDescent="0.25">
      <c r="A16" s="425"/>
      <c r="B16" s="425"/>
      <c r="C16" s="27" t="s">
        <v>190</v>
      </c>
      <c r="D16" s="417"/>
      <c r="E16" s="395"/>
      <c r="F16" s="419"/>
      <c r="G16" s="401"/>
      <c r="H16" s="401"/>
      <c r="I16" s="401"/>
      <c r="J16" s="395"/>
      <c r="K16" s="395"/>
      <c r="L16" s="395"/>
      <c r="M16" s="417"/>
      <c r="N16" s="395"/>
      <c r="O16" s="419"/>
      <c r="P16" s="401"/>
      <c r="Q16" s="401"/>
      <c r="R16" s="401"/>
      <c r="S16" s="395"/>
      <c r="T16" s="395"/>
      <c r="U16" s="395"/>
      <c r="V16" s="417"/>
      <c r="W16" s="395"/>
      <c r="X16" s="419"/>
      <c r="Y16" s="401"/>
      <c r="Z16" s="401"/>
      <c r="AA16" s="401"/>
      <c r="AB16" s="395"/>
      <c r="AC16" s="395"/>
      <c r="AD16" s="395"/>
      <c r="AE16" s="417"/>
      <c r="AF16" s="395"/>
      <c r="AG16" s="419"/>
      <c r="AH16" s="401"/>
      <c r="AI16" s="401"/>
      <c r="AJ16" s="401"/>
      <c r="AK16" s="395"/>
      <c r="AL16" s="395"/>
      <c r="AM16" s="395"/>
      <c r="AN16" s="395">
        <f t="shared" si="5"/>
        <v>0</v>
      </c>
      <c r="AO16" s="395">
        <f t="shared" si="6"/>
        <v>0</v>
      </c>
      <c r="AP16" s="395">
        <f t="shared" si="4"/>
        <v>0</v>
      </c>
      <c r="AQ16" s="391">
        <f t="shared" si="7"/>
        <v>0</v>
      </c>
      <c r="AS16" s="421"/>
      <c r="AT16" s="395"/>
      <c r="AU16" s="395"/>
      <c r="AV16" s="395"/>
      <c r="AW16" s="391">
        <f t="shared" si="8"/>
        <v>0</v>
      </c>
    </row>
    <row r="17" spans="1:54" ht="27" customHeight="1" thickTop="1" x14ac:dyDescent="0.2">
      <c r="A17" s="425"/>
      <c r="B17" s="429" t="s">
        <v>191</v>
      </c>
      <c r="C17" s="28" t="s">
        <v>192</v>
      </c>
      <c r="D17" s="414">
        <v>0</v>
      </c>
      <c r="E17" s="414"/>
      <c r="F17" s="414"/>
      <c r="G17" s="414">
        <v>3000000</v>
      </c>
      <c r="H17" s="414">
        <v>0</v>
      </c>
      <c r="I17" s="414"/>
      <c r="J17" s="414">
        <v>2600000</v>
      </c>
      <c r="K17" s="414">
        <v>0</v>
      </c>
      <c r="L17" s="414"/>
      <c r="M17" s="414">
        <v>4015000</v>
      </c>
      <c r="N17" s="414">
        <v>0</v>
      </c>
      <c r="O17" s="414"/>
      <c r="P17" s="414">
        <v>488000</v>
      </c>
      <c r="Q17" s="414">
        <v>0</v>
      </c>
      <c r="R17" s="414"/>
      <c r="S17" s="414">
        <v>102000</v>
      </c>
      <c r="T17" s="414">
        <v>50000</v>
      </c>
      <c r="U17" s="414"/>
      <c r="V17" s="414">
        <v>0</v>
      </c>
      <c r="W17" s="414">
        <v>0</v>
      </c>
      <c r="X17" s="414"/>
      <c r="Y17" s="414">
        <v>0</v>
      </c>
      <c r="Z17" s="414">
        <v>0</v>
      </c>
      <c r="AA17" s="414"/>
      <c r="AB17" s="414">
        <v>0</v>
      </c>
      <c r="AC17" s="414">
        <v>0</v>
      </c>
      <c r="AD17" s="414"/>
      <c r="AE17" s="414">
        <v>0</v>
      </c>
      <c r="AF17" s="414">
        <v>0</v>
      </c>
      <c r="AG17" s="414"/>
      <c r="AH17" s="414">
        <v>0</v>
      </c>
      <c r="AI17" s="414">
        <v>0</v>
      </c>
      <c r="AJ17" s="414"/>
      <c r="AK17" s="414"/>
      <c r="AL17" s="414">
        <v>0</v>
      </c>
      <c r="AM17" s="414"/>
      <c r="AN17" s="394">
        <f t="shared" si="5"/>
        <v>10205000</v>
      </c>
      <c r="AO17" s="394">
        <f t="shared" si="6"/>
        <v>50000</v>
      </c>
      <c r="AP17" s="394">
        <f t="shared" si="4"/>
        <v>0</v>
      </c>
      <c r="AQ17" s="390">
        <f>AP17+AO17+AN17</f>
        <v>10255000</v>
      </c>
      <c r="AS17" s="395">
        <f>Planilha1!D19</f>
        <v>10205000</v>
      </c>
      <c r="AT17" s="395">
        <v>50000</v>
      </c>
      <c r="AU17" s="395"/>
      <c r="AV17" s="395"/>
      <c r="AW17" s="391">
        <f t="shared" si="8"/>
        <v>10255000</v>
      </c>
    </row>
    <row r="18" spans="1:54" ht="32.25" customHeight="1" thickBot="1" x14ac:dyDescent="0.25">
      <c r="A18" s="426"/>
      <c r="B18" s="430"/>
      <c r="C18" s="29" t="s">
        <v>193</v>
      </c>
      <c r="D18" s="415"/>
      <c r="E18" s="415"/>
      <c r="F18" s="415"/>
      <c r="G18" s="415"/>
      <c r="H18" s="415"/>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c r="AJ18" s="415"/>
      <c r="AK18" s="415"/>
      <c r="AL18" s="415"/>
      <c r="AM18" s="415"/>
      <c r="AN18" s="395">
        <f t="shared" si="5"/>
        <v>0</v>
      </c>
      <c r="AO18" s="395">
        <f t="shared" si="6"/>
        <v>0</v>
      </c>
      <c r="AP18" s="395">
        <f t="shared" si="4"/>
        <v>0</v>
      </c>
      <c r="AQ18" s="391">
        <f>AP18+AO18+AN18</f>
        <v>0</v>
      </c>
      <c r="AS18" s="422"/>
      <c r="AT18" s="422"/>
      <c r="AU18" s="422"/>
      <c r="AV18" s="422"/>
      <c r="AW18" s="423">
        <f t="shared" si="8"/>
        <v>0</v>
      </c>
      <c r="AZ18" s="123">
        <f>AZ19-AS19</f>
        <v>0</v>
      </c>
      <c r="BA18" s="123">
        <f>BA19-AT19</f>
        <v>0</v>
      </c>
    </row>
    <row r="19" spans="1:54" ht="54.6" customHeight="1" thickTop="1" thickBot="1" x14ac:dyDescent="0.25">
      <c r="A19" s="56" t="s">
        <v>194</v>
      </c>
      <c r="B19" s="56" t="s">
        <v>53</v>
      </c>
      <c r="C19" s="23" t="s">
        <v>195</v>
      </c>
      <c r="D19" s="121">
        <f>Planilha1!F16</f>
        <v>145228.58106666667</v>
      </c>
      <c r="E19" s="121">
        <f>Planilha2!E14</f>
        <v>183575.71837820119</v>
      </c>
      <c r="F19" s="25"/>
      <c r="G19" s="122">
        <f>Planilha1!G16</f>
        <v>139578.58106666667</v>
      </c>
      <c r="H19" s="122">
        <f>Planilha2!F14</f>
        <v>183575.71837820119</v>
      </c>
      <c r="I19" s="42"/>
      <c r="J19" s="121">
        <f>Planilha1!H16</f>
        <v>137508.58106666667</v>
      </c>
      <c r="K19" s="121">
        <f>Planilha2!G14</f>
        <v>183575.71837820119</v>
      </c>
      <c r="L19" s="24"/>
      <c r="M19" s="121">
        <f>Planilha1!I16</f>
        <v>136578.58106666667</v>
      </c>
      <c r="N19" s="121">
        <f>Planilha2!H14</f>
        <v>183575.71837820119</v>
      </c>
      <c r="O19" s="25"/>
      <c r="P19" s="121">
        <f>Planilha1!J16</f>
        <v>133906.03106666665</v>
      </c>
      <c r="Q19" s="122">
        <f>Planilha2!I14</f>
        <v>183575.71837820119</v>
      </c>
      <c r="R19" s="42"/>
      <c r="S19" s="121">
        <f>Planilha1!K16</f>
        <v>138769.83106666667</v>
      </c>
      <c r="T19" s="121">
        <f>Planilha2!J14</f>
        <v>183575.71837820119</v>
      </c>
      <c r="U19" s="24"/>
      <c r="V19" s="121">
        <f>Planilha1!L16</f>
        <v>133639.83106666667</v>
      </c>
      <c r="W19" s="121">
        <f>Planilha2!K14</f>
        <v>183834.13130109472</v>
      </c>
      <c r="X19" s="25"/>
      <c r="Y19" s="122">
        <f>Planilha1!M16</f>
        <v>133578.38606666666</v>
      </c>
      <c r="Z19" s="122">
        <f>Planilha2!L14</f>
        <v>183834.13130109472</v>
      </c>
      <c r="AA19" s="42"/>
      <c r="AB19" s="121">
        <f>Planilha1!N16</f>
        <v>134508.38606666666</v>
      </c>
      <c r="AC19" s="121">
        <f>Planilha2!M14</f>
        <v>188715.08139670797</v>
      </c>
      <c r="AD19" s="24"/>
      <c r="AE19" s="121">
        <f>Planilha1!O16</f>
        <v>134202.38606666666</v>
      </c>
      <c r="AF19" s="121">
        <f>Planilha2!N14</f>
        <v>188964.19506870798</v>
      </c>
      <c r="AG19" s="25"/>
      <c r="AH19" s="121">
        <f>Planilha1!P16</f>
        <v>133424.78606666665</v>
      </c>
      <c r="AI19" s="122">
        <f>Planilha2!O14</f>
        <v>188964.19506870798</v>
      </c>
      <c r="AJ19" s="42"/>
      <c r="AK19" s="121">
        <f>Planilha1!Q16</f>
        <v>81163.076066666661</v>
      </c>
      <c r="AL19" s="121">
        <f>Planilha2!P14</f>
        <v>188964.19506870798</v>
      </c>
      <c r="AM19" s="24"/>
      <c r="AN19" s="24">
        <f>AK19+AH19+AE19+AB19+Y19+V19+S19+P19+M19+J19+G19+D19</f>
        <v>1582087.0377999998</v>
      </c>
      <c r="AO19" s="24">
        <f>AL19+AI19+AF19+AC19+Z19+W19+T19+Q19+N19+K19+H19+E19</f>
        <v>2224730.2394742286</v>
      </c>
      <c r="AP19" s="24">
        <f>AM19+AJ19+AG19+AD19+AA19+X19+U19+R19+O19+L19+I19+F19</f>
        <v>0</v>
      </c>
      <c r="AQ19" s="71">
        <f>AP19+AO19+AN19</f>
        <v>3806817.2772742286</v>
      </c>
      <c r="AS19" s="121">
        <f>Planilha1!D16</f>
        <v>1582087.0377999998</v>
      </c>
      <c r="AT19" s="121">
        <f>Planilha2!D14</f>
        <v>2224730.2394742286</v>
      </c>
      <c r="AU19" s="24"/>
      <c r="AV19" s="24"/>
      <c r="AW19" s="71">
        <f>SUM(AS19:AV19)</f>
        <v>3806817.2772742286</v>
      </c>
      <c r="AZ19" s="3">
        <v>1582087.0377999998</v>
      </c>
      <c r="BA19" s="3">
        <v>2224730.2394742286</v>
      </c>
    </row>
    <row r="20" spans="1:54" ht="21" customHeight="1" thickTop="1" thickBot="1" x14ac:dyDescent="0.25">
      <c r="A20" s="427" t="s">
        <v>196</v>
      </c>
      <c r="B20" s="427" t="s">
        <v>197</v>
      </c>
      <c r="C20" s="30" t="s">
        <v>198</v>
      </c>
      <c r="D20" s="47">
        <f>D21+D22+D23+D24+D25</f>
        <v>1617036.5909545454</v>
      </c>
      <c r="E20" s="396">
        <f>Planilha2!E20</f>
        <v>101006.27894003107</v>
      </c>
      <c r="F20" s="8"/>
      <c r="G20" s="48">
        <f>G21+G22+G23+G24+G25</f>
        <v>1638096.22</v>
      </c>
      <c r="H20" s="398">
        <f>Planilha2!F20</f>
        <v>101006.27894003107</v>
      </c>
      <c r="I20" s="58"/>
      <c r="J20" s="49">
        <f>J21+J22+J23+J24+J25</f>
        <v>1587524.79</v>
      </c>
      <c r="K20" s="392">
        <f>Planilha2!G20</f>
        <v>101006.27894003107</v>
      </c>
      <c r="L20" s="7"/>
      <c r="M20" s="47">
        <f>M21+M22+M23+M24+M25</f>
        <v>1672080.36</v>
      </c>
      <c r="N20" s="396">
        <f>Planilha2!H20</f>
        <v>101006.27894003107</v>
      </c>
      <c r="O20" s="8"/>
      <c r="P20" s="47">
        <f>P21+P22+P23+P24+P25</f>
        <v>1471124.6</v>
      </c>
      <c r="Q20" s="398">
        <f>Planilha2!I20</f>
        <v>101006.27894003107</v>
      </c>
      <c r="R20" s="58"/>
      <c r="S20" s="47">
        <f>S21+S22+S23+S24+S25</f>
        <v>1408955.59</v>
      </c>
      <c r="T20" s="392">
        <v>101006.28</v>
      </c>
      <c r="U20" s="7"/>
      <c r="V20" s="47">
        <f>V21+V22+V23+V24+V25</f>
        <v>1672190.1600000001</v>
      </c>
      <c r="W20" s="396">
        <v>101006.28</v>
      </c>
      <c r="X20" s="8"/>
      <c r="Y20" s="47">
        <f>Y21+Y22+Y23+Y24+Y25</f>
        <v>1503290.45</v>
      </c>
      <c r="Z20" s="398">
        <f>Planilha2!L20</f>
        <v>101006.27894003107</v>
      </c>
      <c r="AA20" s="58"/>
      <c r="AB20" s="47">
        <f>AB21+AB22+AB23+AB24+AB25</f>
        <v>1757717.9000000001</v>
      </c>
      <c r="AC20" s="392">
        <f>Planilha2!M20</f>
        <v>103732.7144399643</v>
      </c>
      <c r="AD20" s="7"/>
      <c r="AE20" s="47">
        <f>AE21+AE22+AE23+AE24+AE25</f>
        <v>1608079.69</v>
      </c>
      <c r="AF20" s="396">
        <f>Planilha2!N20</f>
        <v>103739.21156796429</v>
      </c>
      <c r="AG20" s="8"/>
      <c r="AH20" s="47">
        <f>AH21+AH22+AH23+AH24+AH25</f>
        <v>1608640.71</v>
      </c>
      <c r="AI20" s="398">
        <f>Planilha2!O20</f>
        <v>103739.21156796429</v>
      </c>
      <c r="AJ20" s="58"/>
      <c r="AK20" s="47">
        <f>AK21+AK22+AK23+AK24+AK25</f>
        <v>1655800.06</v>
      </c>
      <c r="AL20" s="392">
        <f>Planilha2!P20</f>
        <v>103739.21156796429</v>
      </c>
      <c r="AM20" s="7"/>
      <c r="AN20" s="47">
        <f>SUM(AN21:AN25)</f>
        <v>19200537.120954543</v>
      </c>
      <c r="AO20" s="392">
        <f t="shared" ref="AO20:AO25" si="9">AL20+AI20+AF20+AC20+Z20+W20+T20+Q20+N20+K20+H20+E20</f>
        <v>1223000.5827840436</v>
      </c>
      <c r="AP20" s="7">
        <f t="shared" ref="AP20:AP36" si="10">AM20+AJ20+AG20+AD20+AA20+X20+U20+R20+O20+L20+I20+F20</f>
        <v>0</v>
      </c>
      <c r="AQ20" s="408">
        <f>AP20+AO20+AN20</f>
        <v>20423537.703738585</v>
      </c>
      <c r="AS20" s="47">
        <f>Planilha1!D22+Planilha1!D23+Planilha1!D24+Planilha1!D25</f>
        <v>19200537.096080262</v>
      </c>
      <c r="AT20" s="410">
        <f>Planilha2!D20</f>
        <v>1223000.5806641059</v>
      </c>
      <c r="AU20" s="7"/>
      <c r="AV20" s="7"/>
      <c r="AW20" s="408">
        <f t="shared" si="8"/>
        <v>20423537.676744368</v>
      </c>
      <c r="AZ20" s="73">
        <f>AZ21+AZ22+AZ23+AZ24+AZ25</f>
        <v>19200537.120954543</v>
      </c>
    </row>
    <row r="21" spans="1:54" ht="49.5" customHeight="1" thickTop="1" x14ac:dyDescent="0.2">
      <c r="A21" s="428"/>
      <c r="B21" s="428"/>
      <c r="C21" s="31" t="s">
        <v>199</v>
      </c>
      <c r="D21" s="11">
        <v>1497790.4354545455</v>
      </c>
      <c r="E21" s="397"/>
      <c r="F21" s="14"/>
      <c r="G21" s="43">
        <v>1531624.18</v>
      </c>
      <c r="H21" s="399"/>
      <c r="I21" s="43"/>
      <c r="J21" s="11">
        <v>1482852.75</v>
      </c>
      <c r="K21" s="393"/>
      <c r="L21" s="11"/>
      <c r="M21" s="11">
        <v>1565137.8</v>
      </c>
      <c r="N21" s="397"/>
      <c r="O21" s="14"/>
      <c r="P21" s="43">
        <v>1358040.04</v>
      </c>
      <c r="Q21" s="399"/>
      <c r="R21" s="43"/>
      <c r="S21" s="11">
        <v>1302733.03</v>
      </c>
      <c r="T21" s="393"/>
      <c r="U21" s="11"/>
      <c r="V21" s="11">
        <f>1611807.6-144100</f>
        <v>1467707.6</v>
      </c>
      <c r="W21" s="397"/>
      <c r="X21" s="14"/>
      <c r="Y21" s="43">
        <f>1442547.89-131000</f>
        <v>1311547.8899999999</v>
      </c>
      <c r="Z21" s="399"/>
      <c r="AA21" s="43"/>
      <c r="AB21" s="11">
        <f>1699495.34-144100</f>
        <v>1555395.34</v>
      </c>
      <c r="AC21" s="393"/>
      <c r="AD21" s="11"/>
      <c r="AE21" s="11">
        <f>1549497.13-131000</f>
        <v>1418497.13</v>
      </c>
      <c r="AF21" s="397"/>
      <c r="AG21" s="14"/>
      <c r="AH21" s="43">
        <f>1544636.15-144100</f>
        <v>1400536.15</v>
      </c>
      <c r="AI21" s="399"/>
      <c r="AJ21" s="43"/>
      <c r="AK21" s="11">
        <f>1598297.5-144100</f>
        <v>1454197.5</v>
      </c>
      <c r="AL21" s="393"/>
      <c r="AM21" s="11"/>
      <c r="AN21" s="11">
        <f>AK21+AH21+AE21+AB21+Y21+V21+S21+P21+M21+J21+G21+D21</f>
        <v>17346059.845454544</v>
      </c>
      <c r="AO21" s="393">
        <f t="shared" si="9"/>
        <v>0</v>
      </c>
      <c r="AP21" s="11">
        <f t="shared" si="10"/>
        <v>0</v>
      </c>
      <c r="AQ21" s="409">
        <f t="shared" si="7"/>
        <v>17346059.845454544</v>
      </c>
      <c r="AS21" s="11"/>
      <c r="AT21" s="411"/>
      <c r="AU21" s="11"/>
      <c r="AV21" s="11"/>
      <c r="AW21" s="409">
        <f t="shared" si="8"/>
        <v>0</v>
      </c>
      <c r="AZ21" s="3">
        <v>17346059.845454544</v>
      </c>
      <c r="BA21" s="73">
        <v>1223000.5827840436</v>
      </c>
    </row>
    <row r="22" spans="1:54" ht="47.25" customHeight="1" x14ac:dyDescent="0.2">
      <c r="A22" s="428"/>
      <c r="B22" s="428"/>
      <c r="C22" s="32" t="s">
        <v>200</v>
      </c>
      <c r="D22" s="11">
        <v>0</v>
      </c>
      <c r="E22" s="397"/>
      <c r="F22" s="14"/>
      <c r="G22" s="43">
        <v>0</v>
      </c>
      <c r="H22" s="399"/>
      <c r="I22" s="43"/>
      <c r="J22" s="11">
        <v>0</v>
      </c>
      <c r="K22" s="393"/>
      <c r="L22" s="11"/>
      <c r="M22" s="11">
        <v>0</v>
      </c>
      <c r="N22" s="397"/>
      <c r="O22" s="14"/>
      <c r="P22" s="43">
        <v>0</v>
      </c>
      <c r="Q22" s="399"/>
      <c r="R22" s="43"/>
      <c r="S22" s="11">
        <v>0</v>
      </c>
      <c r="T22" s="393"/>
      <c r="U22" s="11"/>
      <c r="V22" s="11">
        <v>144100</v>
      </c>
      <c r="W22" s="397"/>
      <c r="X22" s="14"/>
      <c r="Y22" s="43">
        <v>131000</v>
      </c>
      <c r="Z22" s="399"/>
      <c r="AA22" s="43"/>
      <c r="AB22" s="11">
        <v>144100</v>
      </c>
      <c r="AC22" s="393"/>
      <c r="AD22" s="11"/>
      <c r="AE22" s="11">
        <v>131000</v>
      </c>
      <c r="AF22" s="397"/>
      <c r="AG22" s="14"/>
      <c r="AH22" s="43">
        <v>144100</v>
      </c>
      <c r="AI22" s="399"/>
      <c r="AJ22" s="43"/>
      <c r="AK22" s="11">
        <v>144100</v>
      </c>
      <c r="AL22" s="393"/>
      <c r="AM22" s="11"/>
      <c r="AN22" s="11">
        <f t="shared" ref="AN22:AN35" si="11">AK22+AH22+AE22+AB22+Y22+V22+S22+P22+M22+J22+G22+D22</f>
        <v>838400</v>
      </c>
      <c r="AO22" s="393">
        <f t="shared" si="9"/>
        <v>0</v>
      </c>
      <c r="AP22" s="11">
        <f t="shared" si="10"/>
        <v>0</v>
      </c>
      <c r="AQ22" s="409">
        <f t="shared" si="7"/>
        <v>838400</v>
      </c>
      <c r="AS22" s="11"/>
      <c r="AT22" s="411"/>
      <c r="AU22" s="11"/>
      <c r="AV22" s="11"/>
      <c r="AW22" s="409">
        <f t="shared" si="8"/>
        <v>0</v>
      </c>
      <c r="AZ22" s="3">
        <v>838400</v>
      </c>
    </row>
    <row r="23" spans="1:54" ht="38.25" customHeight="1" x14ac:dyDescent="0.2">
      <c r="A23" s="428"/>
      <c r="B23" s="428"/>
      <c r="C23" s="32" t="s">
        <v>201</v>
      </c>
      <c r="D23" s="11">
        <v>10905.9655</v>
      </c>
      <c r="E23" s="397"/>
      <c r="F23" s="14"/>
      <c r="G23" s="43">
        <v>10185.969999999999</v>
      </c>
      <c r="H23" s="399"/>
      <c r="I23" s="43"/>
      <c r="J23" s="11">
        <v>8385.9699999999993</v>
      </c>
      <c r="K23" s="393"/>
      <c r="L23" s="11"/>
      <c r="M23" s="11">
        <v>9105.9699999999993</v>
      </c>
      <c r="N23" s="397"/>
      <c r="O23" s="14"/>
      <c r="P23" s="43">
        <v>15247.97</v>
      </c>
      <c r="Q23" s="399"/>
      <c r="R23" s="43"/>
      <c r="S23" s="11">
        <v>8385.9699999999993</v>
      </c>
      <c r="T23" s="393"/>
      <c r="U23" s="11"/>
      <c r="V23" s="11">
        <v>10545.97</v>
      </c>
      <c r="W23" s="397"/>
      <c r="X23" s="14"/>
      <c r="Y23" s="43">
        <v>10905.97</v>
      </c>
      <c r="Z23" s="399"/>
      <c r="AA23" s="43"/>
      <c r="AB23" s="11">
        <v>8385.9699999999993</v>
      </c>
      <c r="AC23" s="393"/>
      <c r="AD23" s="11"/>
      <c r="AE23" s="11">
        <v>8745.9699999999993</v>
      </c>
      <c r="AF23" s="397"/>
      <c r="AG23" s="14"/>
      <c r="AH23" s="43">
        <v>14167.97</v>
      </c>
      <c r="AI23" s="399"/>
      <c r="AJ23" s="43"/>
      <c r="AK23" s="11">
        <v>7665.97</v>
      </c>
      <c r="AL23" s="393"/>
      <c r="AM23" s="11"/>
      <c r="AN23" s="11">
        <f t="shared" si="11"/>
        <v>122635.6355</v>
      </c>
      <c r="AO23" s="393">
        <f t="shared" si="9"/>
        <v>0</v>
      </c>
      <c r="AP23" s="11">
        <f t="shared" si="10"/>
        <v>0</v>
      </c>
      <c r="AQ23" s="409">
        <f t="shared" si="7"/>
        <v>122635.6355</v>
      </c>
      <c r="AS23" s="11"/>
      <c r="AT23" s="411"/>
      <c r="AU23" s="11"/>
      <c r="AV23" s="11"/>
      <c r="AW23" s="409">
        <f t="shared" si="8"/>
        <v>0</v>
      </c>
      <c r="AZ23" s="3">
        <v>122635.6355</v>
      </c>
    </row>
    <row r="24" spans="1:54" ht="38.25" customHeight="1" x14ac:dyDescent="0.2">
      <c r="A24" s="428"/>
      <c r="B24" s="428"/>
      <c r="C24" s="32" t="s">
        <v>202</v>
      </c>
      <c r="D24" s="11">
        <v>51000</v>
      </c>
      <c r="E24" s="397"/>
      <c r="F24" s="14"/>
      <c r="G24" s="43">
        <v>51000</v>
      </c>
      <c r="H24" s="399"/>
      <c r="I24" s="43"/>
      <c r="J24" s="11">
        <v>51000</v>
      </c>
      <c r="K24" s="393"/>
      <c r="L24" s="11"/>
      <c r="M24" s="11">
        <v>51000</v>
      </c>
      <c r="N24" s="397"/>
      <c r="O24" s="14"/>
      <c r="P24" s="43">
        <v>51000</v>
      </c>
      <c r="Q24" s="399"/>
      <c r="R24" s="43"/>
      <c r="S24" s="11">
        <v>51000</v>
      </c>
      <c r="T24" s="393"/>
      <c r="U24" s="11"/>
      <c r="V24" s="11">
        <v>3000</v>
      </c>
      <c r="W24" s="397"/>
      <c r="X24" s="14"/>
      <c r="Y24" s="43">
        <v>3000</v>
      </c>
      <c r="Z24" s="399"/>
      <c r="AA24" s="43"/>
      <c r="AB24" s="11">
        <v>3000</v>
      </c>
      <c r="AC24" s="393"/>
      <c r="AD24" s="11"/>
      <c r="AE24" s="11">
        <v>3000</v>
      </c>
      <c r="AF24" s="397"/>
      <c r="AG24" s="14"/>
      <c r="AH24" s="43">
        <v>3000</v>
      </c>
      <c r="AI24" s="399"/>
      <c r="AJ24" s="43"/>
      <c r="AK24" s="11">
        <v>3000</v>
      </c>
      <c r="AL24" s="393"/>
      <c r="AM24" s="11"/>
      <c r="AN24" s="11">
        <f t="shared" si="11"/>
        <v>324000</v>
      </c>
      <c r="AO24" s="393">
        <f t="shared" si="9"/>
        <v>0</v>
      </c>
      <c r="AP24" s="11">
        <f t="shared" si="10"/>
        <v>0</v>
      </c>
      <c r="AQ24" s="409">
        <f t="shared" si="7"/>
        <v>324000</v>
      </c>
      <c r="AS24" s="11"/>
      <c r="AT24" s="411"/>
      <c r="AU24" s="11"/>
      <c r="AV24" s="11"/>
      <c r="AW24" s="409">
        <f t="shared" si="8"/>
        <v>0</v>
      </c>
      <c r="AZ24" s="3">
        <v>324000</v>
      </c>
    </row>
    <row r="25" spans="1:54" ht="38.25" customHeight="1" thickBot="1" x14ac:dyDescent="0.25">
      <c r="A25" s="428"/>
      <c r="B25" s="428"/>
      <c r="C25" s="27" t="s">
        <v>203</v>
      </c>
      <c r="D25" s="16">
        <v>57340.19</v>
      </c>
      <c r="E25" s="397"/>
      <c r="F25" s="14"/>
      <c r="G25" s="43">
        <v>45286.07</v>
      </c>
      <c r="H25" s="399"/>
      <c r="I25" s="43"/>
      <c r="J25" s="11">
        <v>45286.07</v>
      </c>
      <c r="K25" s="393"/>
      <c r="L25" s="11"/>
      <c r="M25" s="11">
        <v>46836.59</v>
      </c>
      <c r="N25" s="397"/>
      <c r="O25" s="14"/>
      <c r="P25" s="43">
        <v>46836.59</v>
      </c>
      <c r="Q25" s="399"/>
      <c r="R25" s="43"/>
      <c r="S25" s="11">
        <v>46836.59</v>
      </c>
      <c r="T25" s="393"/>
      <c r="U25" s="11"/>
      <c r="V25" s="11">
        <v>46836.59</v>
      </c>
      <c r="W25" s="397"/>
      <c r="X25" s="14"/>
      <c r="Y25" s="43">
        <v>46836.59</v>
      </c>
      <c r="Z25" s="399"/>
      <c r="AA25" s="43"/>
      <c r="AB25" s="11">
        <v>46836.59</v>
      </c>
      <c r="AC25" s="393"/>
      <c r="AD25" s="11"/>
      <c r="AE25" s="11">
        <v>46836.59</v>
      </c>
      <c r="AF25" s="397"/>
      <c r="AG25" s="14"/>
      <c r="AH25" s="43">
        <v>46836.59</v>
      </c>
      <c r="AI25" s="399"/>
      <c r="AJ25" s="43"/>
      <c r="AK25" s="11">
        <v>46836.59</v>
      </c>
      <c r="AL25" s="393"/>
      <c r="AM25" s="11"/>
      <c r="AN25" s="11">
        <f t="shared" si="11"/>
        <v>569441.6399999999</v>
      </c>
      <c r="AO25" s="393">
        <f t="shared" si="9"/>
        <v>0</v>
      </c>
      <c r="AP25" s="11">
        <f t="shared" si="10"/>
        <v>0</v>
      </c>
      <c r="AQ25" s="409">
        <f t="shared" si="7"/>
        <v>569441.6399999999</v>
      </c>
      <c r="AS25" s="11"/>
      <c r="AT25" s="411"/>
      <c r="AU25" s="11"/>
      <c r="AV25" s="11"/>
      <c r="AW25" s="409">
        <f t="shared" si="8"/>
        <v>0</v>
      </c>
      <c r="AZ25" s="3">
        <v>569441.6399999999</v>
      </c>
    </row>
    <row r="26" spans="1:54" ht="24" customHeight="1" thickTop="1" x14ac:dyDescent="0.2">
      <c r="A26" s="427" t="s">
        <v>204</v>
      </c>
      <c r="B26" s="427" t="s">
        <v>205</v>
      </c>
      <c r="C26" s="26" t="s">
        <v>206</v>
      </c>
      <c r="D26" s="40">
        <f>D27+D28+D29+D30</f>
        <v>6104897</v>
      </c>
      <c r="E26" s="396">
        <f>Planilha2!E21</f>
        <v>365420.15101274586</v>
      </c>
      <c r="F26" s="34"/>
      <c r="G26" s="41">
        <f>G27+G28+G29+G30</f>
        <v>6029397</v>
      </c>
      <c r="H26" s="398">
        <f>Planilha2!F21</f>
        <v>365420.15101274586</v>
      </c>
      <c r="I26" s="39"/>
      <c r="J26" s="40">
        <f>J27+J28+J29+J30</f>
        <v>6083397</v>
      </c>
      <c r="K26" s="392">
        <f>Planilha2!G21</f>
        <v>365420.15101274586</v>
      </c>
      <c r="L26" s="21"/>
      <c r="M26" s="40">
        <f>M27+M28+M29+M30</f>
        <v>5968397</v>
      </c>
      <c r="N26" s="396">
        <f>Planilha2!H21</f>
        <v>365420.15101274586</v>
      </c>
      <c r="O26" s="34"/>
      <c r="P26" s="41">
        <f>P27+P28+P29</f>
        <v>6048397</v>
      </c>
      <c r="Q26" s="398">
        <f>Planilha2!I21</f>
        <v>365420.15101274586</v>
      </c>
      <c r="R26" s="39"/>
      <c r="S26" s="40">
        <f>S27+S28+S29</f>
        <v>5968397</v>
      </c>
      <c r="T26" s="392">
        <f>Planilha2!J21</f>
        <v>365420.15101274586</v>
      </c>
      <c r="U26" s="21"/>
      <c r="V26" s="40">
        <f>V27+V28+V29</f>
        <v>0</v>
      </c>
      <c r="W26" s="396">
        <f>Planilha2!K21</f>
        <v>365420.15101274586</v>
      </c>
      <c r="X26" s="34"/>
      <c r="Y26" s="41">
        <f>Y27+Y28+Y29</f>
        <v>0</v>
      </c>
      <c r="Z26" s="398">
        <f>Planilha2!L21</f>
        <v>365420.15101274586</v>
      </c>
      <c r="AA26" s="39"/>
      <c r="AB26" s="40">
        <f>AB27+AB28+AB29</f>
        <v>0</v>
      </c>
      <c r="AC26" s="392">
        <f>Planilha2!M21</f>
        <v>373932.30716848752</v>
      </c>
      <c r="AD26" s="21"/>
      <c r="AE26" s="40">
        <f>AE27+AE28+AE29</f>
        <v>0</v>
      </c>
      <c r="AF26" s="396">
        <f>Planilha2!N21</f>
        <v>374027.60915248748</v>
      </c>
      <c r="AG26" s="34"/>
      <c r="AH26" s="41">
        <f>AH27+AH28+AH29</f>
        <v>0</v>
      </c>
      <c r="AI26" s="398">
        <f>Planilha2!O21</f>
        <v>374027.60915248748</v>
      </c>
      <c r="AJ26" s="39"/>
      <c r="AK26" s="40">
        <f>AK27+AK28+AK29</f>
        <v>0</v>
      </c>
      <c r="AL26" s="392">
        <f>Planilha2!P21</f>
        <v>374027.60915248748</v>
      </c>
      <c r="AM26" s="21"/>
      <c r="AN26" s="40">
        <f>AK26+AH26+AE26+AB26+Y26+V26+S26+P26+M26+J26+G26+D26</f>
        <v>36202882</v>
      </c>
      <c r="AO26" s="392">
        <f>AL26+AI26+AF26+AC26+Z26+W26+T26+Q26+N26+K26+H26+E26</f>
        <v>4419376.3427279163</v>
      </c>
      <c r="AP26" s="21">
        <f t="shared" si="10"/>
        <v>0</v>
      </c>
      <c r="AQ26" s="408">
        <f>AN26+AN31+AO26</f>
        <v>66622174.342727914</v>
      </c>
      <c r="AS26" s="412">
        <v>62102798</v>
      </c>
      <c r="AT26" s="410">
        <f>Planilha2!D21</f>
        <v>4419376.3427279172</v>
      </c>
      <c r="AU26" s="392"/>
      <c r="AV26" s="392"/>
      <c r="AW26" s="408">
        <f>AV26+AU26+AT26+AS26</f>
        <v>66522174.342727914</v>
      </c>
    </row>
    <row r="27" spans="1:54" ht="24" customHeight="1" x14ac:dyDescent="0.2">
      <c r="A27" s="428"/>
      <c r="B27" s="428"/>
      <c r="C27" s="28" t="s">
        <v>207</v>
      </c>
      <c r="D27" s="11">
        <v>811497</v>
      </c>
      <c r="E27" s="397"/>
      <c r="F27" s="14"/>
      <c r="G27" s="11">
        <v>811497</v>
      </c>
      <c r="H27" s="399"/>
      <c r="I27" s="43"/>
      <c r="J27" s="11">
        <v>811497</v>
      </c>
      <c r="K27" s="393"/>
      <c r="L27" s="11"/>
      <c r="M27" s="11">
        <v>811497</v>
      </c>
      <c r="N27" s="397"/>
      <c r="O27" s="14"/>
      <c r="P27" s="11">
        <v>811497</v>
      </c>
      <c r="Q27" s="399"/>
      <c r="R27" s="43"/>
      <c r="S27" s="11">
        <v>811497</v>
      </c>
      <c r="T27" s="393"/>
      <c r="U27" s="11"/>
      <c r="V27" s="11"/>
      <c r="W27" s="397"/>
      <c r="X27" s="14"/>
      <c r="Y27" s="43"/>
      <c r="Z27" s="399"/>
      <c r="AA27" s="43"/>
      <c r="AB27" s="11"/>
      <c r="AC27" s="393"/>
      <c r="AD27" s="11"/>
      <c r="AE27" s="11"/>
      <c r="AF27" s="397"/>
      <c r="AG27" s="14"/>
      <c r="AH27" s="43"/>
      <c r="AI27" s="399"/>
      <c r="AJ27" s="43"/>
      <c r="AK27" s="11"/>
      <c r="AL27" s="393"/>
      <c r="AM27" s="11"/>
      <c r="AN27" s="11">
        <f t="shared" si="11"/>
        <v>4868982</v>
      </c>
      <c r="AO27" s="393">
        <f>Plan2!AL27+Plan2!AI27+Plan2!AF27+Plan2!AC27+Plan2!Z27+Plan2!W27+Plan2!T27+Plan2!Q27+Plan2!N27+Plan2!K27+Plan2!H27+Plan2!E27</f>
        <v>0</v>
      </c>
      <c r="AP27" s="11">
        <f t="shared" si="10"/>
        <v>0</v>
      </c>
      <c r="AQ27" s="409"/>
      <c r="AS27" s="413"/>
      <c r="AT27" s="411"/>
      <c r="AU27" s="393"/>
      <c r="AV27" s="393"/>
      <c r="AW27" s="409"/>
    </row>
    <row r="28" spans="1:54" ht="24" customHeight="1" x14ac:dyDescent="0.2">
      <c r="A28" s="428"/>
      <c r="B28" s="428"/>
      <c r="C28" s="28" t="s">
        <v>208</v>
      </c>
      <c r="D28" s="11">
        <v>5114800</v>
      </c>
      <c r="E28" s="397"/>
      <c r="F28" s="14"/>
      <c r="G28" s="11">
        <v>5114800</v>
      </c>
      <c r="H28" s="399"/>
      <c r="I28" s="43"/>
      <c r="J28" s="11">
        <v>5114800</v>
      </c>
      <c r="K28" s="393"/>
      <c r="L28" s="11"/>
      <c r="M28" s="11">
        <v>5114800</v>
      </c>
      <c r="N28" s="397"/>
      <c r="O28" s="14"/>
      <c r="P28" s="11">
        <v>5114800</v>
      </c>
      <c r="Q28" s="399"/>
      <c r="R28" s="43"/>
      <c r="S28" s="11">
        <v>5114800</v>
      </c>
      <c r="T28" s="393"/>
      <c r="U28" s="11"/>
      <c r="V28" s="11"/>
      <c r="W28" s="397"/>
      <c r="X28" s="14"/>
      <c r="Y28" s="43"/>
      <c r="Z28" s="399"/>
      <c r="AA28" s="43"/>
      <c r="AB28" s="11"/>
      <c r="AC28" s="393"/>
      <c r="AD28" s="11"/>
      <c r="AE28" s="11"/>
      <c r="AF28" s="397"/>
      <c r="AG28" s="14"/>
      <c r="AH28" s="43"/>
      <c r="AI28" s="399"/>
      <c r="AJ28" s="43"/>
      <c r="AK28" s="11"/>
      <c r="AL28" s="393"/>
      <c r="AM28" s="11"/>
      <c r="AN28" s="11">
        <f t="shared" si="11"/>
        <v>30688800</v>
      </c>
      <c r="AO28" s="393">
        <f>Plan2!AL28+Plan2!AI28+Plan2!AF28+Plan2!AC28+Plan2!Z28+Plan2!W28+Plan2!T28+Plan2!Q28+Plan2!N28+Plan2!K28+Plan2!H28+Plan2!E28</f>
        <v>0</v>
      </c>
      <c r="AP28" s="11">
        <f t="shared" si="10"/>
        <v>0</v>
      </c>
      <c r="AQ28" s="409"/>
      <c r="AS28" s="413"/>
      <c r="AT28" s="411"/>
      <c r="AU28" s="393"/>
      <c r="AV28" s="393"/>
      <c r="AW28" s="409"/>
    </row>
    <row r="29" spans="1:54" ht="24" customHeight="1" x14ac:dyDescent="0.2">
      <c r="A29" s="428"/>
      <c r="B29" s="428"/>
      <c r="C29" s="27" t="s">
        <v>201</v>
      </c>
      <c r="D29" s="11">
        <v>148600</v>
      </c>
      <c r="E29" s="397"/>
      <c r="F29" s="14"/>
      <c r="G29" s="43">
        <v>68100</v>
      </c>
      <c r="H29" s="399"/>
      <c r="I29" s="43"/>
      <c r="J29" s="11">
        <v>122100</v>
      </c>
      <c r="K29" s="393"/>
      <c r="L29" s="11"/>
      <c r="M29" s="11">
        <v>42100</v>
      </c>
      <c r="N29" s="397"/>
      <c r="O29" s="14"/>
      <c r="P29" s="43">
        <v>122100</v>
      </c>
      <c r="Q29" s="399"/>
      <c r="R29" s="43"/>
      <c r="S29" s="11">
        <v>42100</v>
      </c>
      <c r="T29" s="393"/>
      <c r="U29" s="11"/>
      <c r="V29" s="11"/>
      <c r="W29" s="397"/>
      <c r="X29" s="14"/>
      <c r="Y29" s="43"/>
      <c r="Z29" s="399"/>
      <c r="AA29" s="43"/>
      <c r="AB29" s="11"/>
      <c r="AC29" s="393"/>
      <c r="AD29" s="11"/>
      <c r="AE29" s="11"/>
      <c r="AF29" s="397"/>
      <c r="AG29" s="14"/>
      <c r="AH29" s="43"/>
      <c r="AI29" s="399"/>
      <c r="AJ29" s="43"/>
      <c r="AK29" s="11"/>
      <c r="AL29" s="393"/>
      <c r="AM29" s="11"/>
      <c r="AN29" s="11">
        <f t="shared" si="11"/>
        <v>545100</v>
      </c>
      <c r="AO29" s="393">
        <f>Plan2!AL29+Plan2!AI29+Plan2!AF29+Plan2!AC29+Plan2!Z29+Plan2!W29+Plan2!T29+Plan2!Q29+Plan2!N29+Plan2!K29+Plan2!H29+Plan2!E29</f>
        <v>0</v>
      </c>
      <c r="AP29" s="11">
        <f t="shared" si="10"/>
        <v>0</v>
      </c>
      <c r="AQ29" s="409"/>
      <c r="AS29" s="413"/>
      <c r="AT29" s="411"/>
      <c r="AU29" s="393"/>
      <c r="AV29" s="393"/>
      <c r="AW29" s="409"/>
      <c r="AZ29" s="73">
        <v>4947001.2871000003</v>
      </c>
      <c r="BA29" s="73">
        <v>18539760.300000001</v>
      </c>
      <c r="BB29" s="73">
        <v>679500</v>
      </c>
    </row>
    <row r="30" spans="1:54" ht="24" customHeight="1" x14ac:dyDescent="0.2">
      <c r="A30" s="428"/>
      <c r="B30" s="428"/>
      <c r="C30" s="27" t="s">
        <v>202</v>
      </c>
      <c r="D30" s="11">
        <v>30000</v>
      </c>
      <c r="E30" s="397"/>
      <c r="F30" s="14"/>
      <c r="G30" s="43">
        <v>35000</v>
      </c>
      <c r="H30" s="399"/>
      <c r="I30" s="43"/>
      <c r="J30" s="11">
        <v>35000</v>
      </c>
      <c r="K30" s="393"/>
      <c r="L30" s="11"/>
      <c r="M30" s="11"/>
      <c r="N30" s="397"/>
      <c r="O30" s="14"/>
      <c r="P30" s="43"/>
      <c r="Q30" s="399"/>
      <c r="R30" s="43"/>
      <c r="S30" s="11"/>
      <c r="T30" s="393"/>
      <c r="U30" s="11"/>
      <c r="V30" s="11"/>
      <c r="W30" s="397"/>
      <c r="X30" s="14"/>
      <c r="Y30" s="43"/>
      <c r="Z30" s="399"/>
      <c r="AA30" s="43"/>
      <c r="AB30" s="11"/>
      <c r="AC30" s="393"/>
      <c r="AD30" s="11"/>
      <c r="AE30" s="11"/>
      <c r="AF30" s="397"/>
      <c r="AG30" s="14"/>
      <c r="AH30" s="43"/>
      <c r="AI30" s="399"/>
      <c r="AJ30" s="43"/>
      <c r="AK30" s="11"/>
      <c r="AL30" s="393"/>
      <c r="AM30" s="11"/>
      <c r="AN30" s="11">
        <f t="shared" si="11"/>
        <v>100000</v>
      </c>
      <c r="AO30" s="393"/>
      <c r="AP30" s="11"/>
      <c r="AQ30" s="409"/>
      <c r="AS30" s="413"/>
      <c r="AT30" s="411"/>
      <c r="AU30" s="393"/>
      <c r="AV30" s="393"/>
      <c r="AW30" s="409"/>
      <c r="AZ30" s="73"/>
      <c r="BA30" s="73"/>
      <c r="BB30" s="73"/>
    </row>
    <row r="31" spans="1:54" ht="24" customHeight="1" x14ac:dyDescent="0.2">
      <c r="A31" s="428"/>
      <c r="B31" s="428"/>
      <c r="C31" s="28" t="s">
        <v>209</v>
      </c>
      <c r="D31" s="93">
        <f>D32+D33+D35</f>
        <v>0</v>
      </c>
      <c r="E31" s="397"/>
      <c r="F31" s="14"/>
      <c r="G31" s="93">
        <f>G32+G33+G35</f>
        <v>0</v>
      </c>
      <c r="H31" s="399"/>
      <c r="I31" s="43"/>
      <c r="J31" s="93">
        <f>J32+J33+J35</f>
        <v>0</v>
      </c>
      <c r="K31" s="393"/>
      <c r="L31" s="11"/>
      <c r="M31" s="93">
        <f>M32+M33+M35</f>
        <v>0</v>
      </c>
      <c r="N31" s="397"/>
      <c r="O31" s="14"/>
      <c r="P31" s="93">
        <f>P32+P33+P35</f>
        <v>0</v>
      </c>
      <c r="Q31" s="399"/>
      <c r="R31" s="43"/>
      <c r="S31" s="93">
        <f>S32+S33+S35</f>
        <v>0</v>
      </c>
      <c r="T31" s="393"/>
      <c r="U31" s="11"/>
      <c r="V31" s="93">
        <f>V32+V33+V35</f>
        <v>4373736</v>
      </c>
      <c r="W31" s="397"/>
      <c r="X31" s="14"/>
      <c r="Y31" s="93">
        <f>Y32+Y33+Y35</f>
        <v>4293236</v>
      </c>
      <c r="Z31" s="399"/>
      <c r="AA31" s="43"/>
      <c r="AB31" s="93">
        <f>AB32+AB33+AB35</f>
        <v>4373236</v>
      </c>
      <c r="AC31" s="393"/>
      <c r="AD31" s="11"/>
      <c r="AE31" s="93">
        <f>AE32+AE33+AE35</f>
        <v>4293236</v>
      </c>
      <c r="AF31" s="397"/>
      <c r="AG31" s="14"/>
      <c r="AH31" s="93">
        <f>AH32+AH33+AH35</f>
        <v>4373236</v>
      </c>
      <c r="AI31" s="399"/>
      <c r="AJ31" s="43"/>
      <c r="AK31" s="65">
        <f>AK32+AK33+AK35</f>
        <v>4293236</v>
      </c>
      <c r="AL31" s="393"/>
      <c r="AM31" s="11"/>
      <c r="AN31" s="65">
        <f>AN32+AN33+AN35</f>
        <v>25999916</v>
      </c>
      <c r="AO31" s="393">
        <f>Plan2!AL31+Plan2!AI31+Plan2!AF31+Plan2!AC31+Plan2!Z31+Plan2!W31+Plan2!T31+Plan2!Q31+Plan2!N31+Plan2!K31+Plan2!H31+Plan2!E31</f>
        <v>0</v>
      </c>
      <c r="AP31" s="11">
        <f t="shared" si="10"/>
        <v>0</v>
      </c>
      <c r="AQ31" s="409"/>
      <c r="AS31" s="413"/>
      <c r="AT31" s="411"/>
      <c r="AU31" s="393"/>
      <c r="AV31" s="393"/>
      <c r="AW31" s="409"/>
    </row>
    <row r="32" spans="1:54" ht="24" customHeight="1" x14ac:dyDescent="0.2">
      <c r="A32" s="428"/>
      <c r="B32" s="428"/>
      <c r="C32" s="28" t="s">
        <v>210</v>
      </c>
      <c r="D32" s="11">
        <v>0</v>
      </c>
      <c r="E32" s="397"/>
      <c r="F32" s="14"/>
      <c r="G32" s="43"/>
      <c r="H32" s="399"/>
      <c r="I32" s="43"/>
      <c r="J32" s="11"/>
      <c r="K32" s="393"/>
      <c r="L32" s="11"/>
      <c r="M32" s="11"/>
      <c r="N32" s="397"/>
      <c r="O32" s="14"/>
      <c r="P32" s="43"/>
      <c r="Q32" s="399"/>
      <c r="R32" s="43"/>
      <c r="S32" s="11"/>
      <c r="T32" s="393"/>
      <c r="U32" s="11"/>
      <c r="V32" s="11">
        <v>558336</v>
      </c>
      <c r="W32" s="397"/>
      <c r="X32" s="14"/>
      <c r="Y32" s="11">
        <v>558336</v>
      </c>
      <c r="Z32" s="399"/>
      <c r="AA32" s="43"/>
      <c r="AB32" s="11">
        <v>558336</v>
      </c>
      <c r="AC32" s="393"/>
      <c r="AD32" s="11"/>
      <c r="AE32" s="11">
        <v>558336</v>
      </c>
      <c r="AF32" s="397"/>
      <c r="AG32" s="14"/>
      <c r="AH32" s="11">
        <v>558336</v>
      </c>
      <c r="AI32" s="399"/>
      <c r="AJ32" s="43"/>
      <c r="AK32" s="11">
        <v>558336</v>
      </c>
      <c r="AL32" s="393"/>
      <c r="AM32" s="11"/>
      <c r="AN32" s="22">
        <f t="shared" si="11"/>
        <v>3350016</v>
      </c>
      <c r="AO32" s="393">
        <f>Plan2!AL32+Plan2!AI32+Plan2!AF32+Plan2!AC32+Plan2!Z32+Plan2!W32+Plan2!T32+Plan2!Q32+Plan2!N32+Plan2!K32+Plan2!H32+Plan2!E32</f>
        <v>0</v>
      </c>
      <c r="AP32" s="11">
        <f t="shared" si="10"/>
        <v>0</v>
      </c>
      <c r="AQ32" s="409"/>
      <c r="AS32" s="413"/>
      <c r="AT32" s="411"/>
      <c r="AU32" s="393"/>
      <c r="AV32" s="393"/>
      <c r="AW32" s="409"/>
    </row>
    <row r="33" spans="1:50" ht="24" customHeight="1" x14ac:dyDescent="0.2">
      <c r="A33" s="428"/>
      <c r="B33" s="428"/>
      <c r="C33" s="35" t="s">
        <v>211</v>
      </c>
      <c r="D33" s="22">
        <v>0</v>
      </c>
      <c r="E33" s="397"/>
      <c r="F33" s="33"/>
      <c r="G33" s="46"/>
      <c r="H33" s="399"/>
      <c r="I33" s="46"/>
      <c r="J33" s="22"/>
      <c r="K33" s="393"/>
      <c r="L33" s="22"/>
      <c r="M33" s="22"/>
      <c r="N33" s="397"/>
      <c r="O33" s="33"/>
      <c r="P33" s="46"/>
      <c r="Q33" s="399"/>
      <c r="R33" s="46"/>
      <c r="S33" s="22"/>
      <c r="T33" s="393"/>
      <c r="U33" s="22"/>
      <c r="V33" s="22">
        <v>3692800</v>
      </c>
      <c r="W33" s="397"/>
      <c r="X33" s="33"/>
      <c r="Y33" s="22">
        <v>3692800</v>
      </c>
      <c r="Z33" s="399"/>
      <c r="AA33" s="46"/>
      <c r="AB33" s="22">
        <v>3692800</v>
      </c>
      <c r="AC33" s="393"/>
      <c r="AD33" s="22"/>
      <c r="AE33" s="22">
        <v>3692800</v>
      </c>
      <c r="AF33" s="397"/>
      <c r="AG33" s="33"/>
      <c r="AH33" s="22">
        <v>3692800</v>
      </c>
      <c r="AI33" s="399"/>
      <c r="AJ33" s="46"/>
      <c r="AK33" s="22">
        <v>3692800</v>
      </c>
      <c r="AL33" s="393"/>
      <c r="AM33" s="22"/>
      <c r="AN33" s="22">
        <f t="shared" si="11"/>
        <v>22156800</v>
      </c>
      <c r="AO33" s="393">
        <f>Plan2!AL33+Plan2!AI33+Plan2!AF33+Plan2!AC33+Plan2!Z33+Plan2!W33+Plan2!T33+Plan2!Q33+Plan2!N33+Plan2!K33+Plan2!H33+Plan2!E33</f>
        <v>0</v>
      </c>
      <c r="AP33" s="11">
        <f t="shared" si="10"/>
        <v>0</v>
      </c>
      <c r="AQ33" s="409"/>
      <c r="AS33" s="413"/>
      <c r="AT33" s="411"/>
      <c r="AU33" s="393"/>
      <c r="AV33" s="393"/>
      <c r="AW33" s="409"/>
    </row>
    <row r="34" spans="1:50" ht="24" customHeight="1" x14ac:dyDescent="0.2">
      <c r="A34" s="428"/>
      <c r="B34" s="428"/>
      <c r="C34" s="27" t="s">
        <v>202</v>
      </c>
      <c r="D34" s="22"/>
      <c r="E34" s="397"/>
      <c r="F34" s="33"/>
      <c r="G34" s="46"/>
      <c r="H34" s="399"/>
      <c r="I34" s="46"/>
      <c r="J34" s="22"/>
      <c r="K34" s="393"/>
      <c r="L34" s="22"/>
      <c r="M34" s="22"/>
      <c r="N34" s="397"/>
      <c r="O34" s="33"/>
      <c r="P34" s="46"/>
      <c r="Q34" s="399"/>
      <c r="R34" s="46"/>
      <c r="S34" s="22"/>
      <c r="T34" s="393"/>
      <c r="U34" s="22"/>
      <c r="V34" s="22"/>
      <c r="W34" s="397"/>
      <c r="X34" s="33"/>
      <c r="Y34" s="22"/>
      <c r="Z34" s="399"/>
      <c r="AA34" s="46"/>
      <c r="AB34" s="22"/>
      <c r="AC34" s="393"/>
      <c r="AD34" s="22"/>
      <c r="AE34" s="22"/>
      <c r="AF34" s="397"/>
      <c r="AG34" s="33"/>
      <c r="AH34" s="22"/>
      <c r="AI34" s="399"/>
      <c r="AJ34" s="46"/>
      <c r="AK34" s="22"/>
      <c r="AL34" s="393"/>
      <c r="AM34" s="22"/>
      <c r="AN34" s="22"/>
      <c r="AO34" s="393"/>
      <c r="AP34" s="11"/>
      <c r="AQ34" s="409"/>
      <c r="AS34" s="413"/>
      <c r="AT34" s="411"/>
      <c r="AU34" s="393"/>
      <c r="AV34" s="393"/>
      <c r="AW34" s="409"/>
    </row>
    <row r="35" spans="1:50" ht="24" customHeight="1" thickBot="1" x14ac:dyDescent="0.25">
      <c r="A35" s="428"/>
      <c r="B35" s="428"/>
      <c r="C35" s="27" t="s">
        <v>201</v>
      </c>
      <c r="D35" s="11">
        <v>0</v>
      </c>
      <c r="E35" s="397"/>
      <c r="F35" s="14"/>
      <c r="G35" s="43"/>
      <c r="H35" s="399"/>
      <c r="I35" s="43"/>
      <c r="J35" s="11"/>
      <c r="K35" s="393"/>
      <c r="L35" s="11"/>
      <c r="M35" s="11"/>
      <c r="N35" s="397"/>
      <c r="O35" s="14"/>
      <c r="P35" s="43"/>
      <c r="Q35" s="399"/>
      <c r="R35" s="43"/>
      <c r="S35" s="11"/>
      <c r="T35" s="393"/>
      <c r="U35" s="11"/>
      <c r="V35" s="11">
        <v>122600</v>
      </c>
      <c r="W35" s="397"/>
      <c r="X35" s="14"/>
      <c r="Y35" s="43">
        <v>42100</v>
      </c>
      <c r="Z35" s="399"/>
      <c r="AA35" s="43"/>
      <c r="AB35" s="11">
        <v>122100</v>
      </c>
      <c r="AC35" s="393"/>
      <c r="AD35" s="11"/>
      <c r="AE35" s="11">
        <v>42100</v>
      </c>
      <c r="AF35" s="397"/>
      <c r="AG35" s="14"/>
      <c r="AH35" s="43">
        <v>122100</v>
      </c>
      <c r="AI35" s="399"/>
      <c r="AJ35" s="43"/>
      <c r="AK35" s="11">
        <v>42100</v>
      </c>
      <c r="AL35" s="393"/>
      <c r="AM35" s="11"/>
      <c r="AN35" s="22">
        <f t="shared" si="11"/>
        <v>493100</v>
      </c>
      <c r="AO35" s="393">
        <f>Plan2!AL35+Plan2!AI35+Plan2!AF35+Plan2!AC35+Plan2!Z35+Plan2!W35+Plan2!T35+Plan2!Q35+Plan2!N35+Plan2!K35+Plan2!H35+Plan2!E35</f>
        <v>0</v>
      </c>
      <c r="AP35" s="11">
        <f t="shared" si="10"/>
        <v>0</v>
      </c>
      <c r="AQ35" s="409"/>
      <c r="AS35" s="413"/>
      <c r="AT35" s="411"/>
      <c r="AU35" s="393"/>
      <c r="AV35" s="393"/>
      <c r="AW35" s="409"/>
    </row>
    <row r="36" spans="1:50" ht="33" customHeight="1" thickTop="1" thickBot="1" x14ac:dyDescent="0.25">
      <c r="A36" s="56"/>
      <c r="B36" s="56" t="s">
        <v>212</v>
      </c>
      <c r="C36" s="36" t="s">
        <v>213</v>
      </c>
      <c r="D36" s="37">
        <f>(Planilha1!F28+30000)-F36</f>
        <v>390116.95371666679</v>
      </c>
      <c r="E36" s="37">
        <v>1531268.04</v>
      </c>
      <c r="F36" s="24">
        <f>520000+87000</f>
        <v>607000</v>
      </c>
      <c r="G36" s="37">
        <f>(Planilha1!G28+30000)-I36</f>
        <v>512590.55571666663</v>
      </c>
      <c r="H36" s="42">
        <v>1548979.05</v>
      </c>
      <c r="I36" s="37">
        <v>12000</v>
      </c>
      <c r="J36" s="37">
        <f>Planilha1!H28-L36</f>
        <v>393081.55571666668</v>
      </c>
      <c r="K36" s="24">
        <v>1532488.5</v>
      </c>
      <c r="L36" s="24">
        <f>7500+53000</f>
        <v>60500</v>
      </c>
      <c r="M36" s="37">
        <f>Planilha1!I28</f>
        <v>393417.13571666664</v>
      </c>
      <c r="N36" s="37">
        <v>1529979.05</v>
      </c>
      <c r="O36" s="24"/>
      <c r="P36" s="37">
        <f>Planilha1!J28</f>
        <v>395350.0402166667</v>
      </c>
      <c r="Q36" s="42">
        <v>1529979.05</v>
      </c>
      <c r="R36" s="42"/>
      <c r="S36" s="37">
        <f>Planilha1!K28</f>
        <v>382633.29621666664</v>
      </c>
      <c r="T36" s="24">
        <v>1549957.88</v>
      </c>
      <c r="U36" s="24"/>
      <c r="V36" s="37">
        <f>Planilha1!L28</f>
        <v>393637.79704999999</v>
      </c>
      <c r="W36" s="37">
        <v>1532912.08</v>
      </c>
      <c r="X36" s="24"/>
      <c r="Y36" s="37">
        <f>Planilha1!M28</f>
        <v>383025.39255000005</v>
      </c>
      <c r="Z36" s="42">
        <v>1530054.49</v>
      </c>
      <c r="AA36" s="42"/>
      <c r="AB36" s="37">
        <f>Planilha1!N28</f>
        <v>476895.39255000005</v>
      </c>
      <c r="AC36" s="24">
        <v>1563153.42</v>
      </c>
      <c r="AD36" s="24"/>
      <c r="AE36" s="37">
        <f>Planilha1!O28</f>
        <v>474295.39255000005</v>
      </c>
      <c r="AF36" s="37">
        <v>1563535.54</v>
      </c>
      <c r="AG36" s="24"/>
      <c r="AH36" s="37">
        <f>Planilha1!P28</f>
        <v>472995.39255000005</v>
      </c>
      <c r="AI36" s="42">
        <v>1563535.54</v>
      </c>
      <c r="AJ36" s="42">
        <v>0</v>
      </c>
      <c r="AK36" s="37">
        <f>Planilha1!Q28</f>
        <v>338962.38255000004</v>
      </c>
      <c r="AL36" s="24">
        <v>1563535.54</v>
      </c>
      <c r="AM36" s="24">
        <v>0</v>
      </c>
      <c r="AN36" s="24">
        <f>AK36+AH36+AE36+AB36+Y36+V36+S36+P36+M36+J36+G36+D36</f>
        <v>5007001.2871000003</v>
      </c>
      <c r="AO36" s="24">
        <f>AL36+AI36+AF36+AC36+Z36+W36+T36+Q36+N36+K36+H36+E36</f>
        <v>18539378.18</v>
      </c>
      <c r="AP36" s="24">
        <f t="shared" si="10"/>
        <v>679500</v>
      </c>
      <c r="AQ36" s="71">
        <f>AP36+AO36+AN36</f>
        <v>24225879.467100002</v>
      </c>
      <c r="AS36" s="24">
        <f>Planilha1!D28-AP36</f>
        <v>4947001.2871000003</v>
      </c>
      <c r="AT36" s="24">
        <f>Planilha2!D22</f>
        <v>18539378.186769459</v>
      </c>
      <c r="AU36" s="24"/>
      <c r="AV36" s="24"/>
      <c r="AW36" s="71">
        <f>AV36+AU36+AT36+AS36</f>
        <v>23486379.473869458</v>
      </c>
    </row>
    <row r="37" spans="1:50" ht="30" customHeight="1" thickTop="1" thickBot="1" x14ac:dyDescent="0.25">
      <c r="A37" s="402" t="s">
        <v>173</v>
      </c>
      <c r="B37" s="403"/>
      <c r="C37" s="404"/>
      <c r="D37" s="61">
        <f t="shared" ref="D37:AP37" si="12">D36+D31+D26+D20+D17+D15+D19+D14+D13+D12+D11+D10+D9+D8</f>
        <v>9734573.8169212118</v>
      </c>
      <c r="E37" s="61">
        <f t="shared" si="12"/>
        <v>3459165.7869989704</v>
      </c>
      <c r="F37" s="61">
        <f t="shared" si="12"/>
        <v>607000</v>
      </c>
      <c r="G37" s="61">
        <f t="shared" si="12"/>
        <v>12636530.229633331</v>
      </c>
      <c r="H37" s="61">
        <f t="shared" si="12"/>
        <v>3500753.2072989703</v>
      </c>
      <c r="I37" s="61">
        <f t="shared" si="12"/>
        <v>12000</v>
      </c>
      <c r="J37" s="61">
        <f t="shared" si="12"/>
        <v>12108799.799633332</v>
      </c>
      <c r="K37" s="61">
        <f t="shared" si="12"/>
        <v>3460386.2469989704</v>
      </c>
      <c r="L37" s="61">
        <f t="shared" si="12"/>
        <v>60500</v>
      </c>
      <c r="M37" s="61">
        <f t="shared" si="12"/>
        <v>13434027.616299998</v>
      </c>
      <c r="N37" s="61">
        <f t="shared" si="12"/>
        <v>3457876.7969989707</v>
      </c>
      <c r="O37" s="61">
        <f t="shared" si="12"/>
        <v>0</v>
      </c>
      <c r="P37" s="61">
        <f t="shared" si="12"/>
        <v>9590289.3030916695</v>
      </c>
      <c r="Q37" s="61">
        <f t="shared" si="12"/>
        <v>3457876.7969989707</v>
      </c>
      <c r="R37" s="61">
        <f t="shared" si="12"/>
        <v>0</v>
      </c>
      <c r="S37" s="61">
        <f t="shared" si="12"/>
        <v>9694401.106591668</v>
      </c>
      <c r="T37" s="61">
        <f t="shared" si="12"/>
        <v>3528534.0652589393</v>
      </c>
      <c r="U37" s="61">
        <f t="shared" si="12"/>
        <v>0</v>
      </c>
      <c r="V37" s="61">
        <f t="shared" si="12"/>
        <v>8290946.9774250016</v>
      </c>
      <c r="W37" s="61">
        <f t="shared" si="12"/>
        <v>3462348.2145183184</v>
      </c>
      <c r="X37" s="61">
        <f t="shared" si="12"/>
        <v>0</v>
      </c>
      <c r="Y37" s="61">
        <f t="shared" si="12"/>
        <v>7406383.4179250011</v>
      </c>
      <c r="Z37" s="61">
        <f t="shared" si="12"/>
        <v>3459490.6234583491</v>
      </c>
      <c r="AA37" s="61">
        <f t="shared" si="12"/>
        <v>0</v>
      </c>
      <c r="AB37" s="61">
        <f t="shared" si="12"/>
        <v>8203074.2012583343</v>
      </c>
      <c r="AC37" s="61">
        <f t="shared" si="12"/>
        <v>3544007.5590188885</v>
      </c>
      <c r="AD37" s="61">
        <f t="shared" si="12"/>
        <v>0</v>
      </c>
      <c r="AE37" s="61">
        <f t="shared" si="12"/>
        <v>7845979.9912583344</v>
      </c>
      <c r="AF37" s="61">
        <f t="shared" si="12"/>
        <v>3545731.1052668896</v>
      </c>
      <c r="AG37" s="61">
        <f t="shared" si="12"/>
        <v>150000</v>
      </c>
      <c r="AH37" s="61">
        <f t="shared" si="12"/>
        <v>8076567.811758332</v>
      </c>
      <c r="AI37" s="61">
        <f t="shared" si="12"/>
        <v>3545731.1052668896</v>
      </c>
      <c r="AJ37" s="61">
        <f t="shared" si="12"/>
        <v>150000</v>
      </c>
      <c r="AK37" s="61">
        <f t="shared" si="12"/>
        <v>7572724.5784249995</v>
      </c>
      <c r="AL37" s="61">
        <f t="shared" si="12"/>
        <v>3645731.1052668896</v>
      </c>
      <c r="AM37" s="61">
        <f t="shared" si="12"/>
        <v>150000</v>
      </c>
      <c r="AN37" s="61">
        <f>AK37+AH37+AE37+AB37+Y37+V37+S37+P37+M37+J37+G37+D37</f>
        <v>114594298.85022122</v>
      </c>
      <c r="AO37" s="61">
        <f>AL37+AI37+AF37+AC37+Z37+W37+T37+Q37+N37+K37+H37+E37</f>
        <v>42067632.613350019</v>
      </c>
      <c r="AP37" s="61">
        <f t="shared" si="12"/>
        <v>1129500</v>
      </c>
      <c r="AQ37" s="61">
        <f>AQ36+AQ26+AQ20+AQ17+AQ15+AQ19+AQ14+AQ13+AQ12+AQ11+AQ10+AQ9+AQ8+AQ18</f>
        <v>157791431.46357122</v>
      </c>
      <c r="AS37" s="61">
        <f>AS36+AS26+AS20+AS19+AS17+AS15+AS14+AS13+AS12+AS11+AS10+AS9+AS8</f>
        <v>114434298.82534692</v>
      </c>
      <c r="AT37" s="61">
        <f>AT36+AT26+AT20+AT19+AT17+AT15+AT14+AT12+AT13+AT11+AT10+AT9+AT8</f>
        <v>42067632.617999531</v>
      </c>
      <c r="AU37" s="61"/>
      <c r="AV37" s="61"/>
      <c r="AW37" s="61"/>
    </row>
    <row r="38" spans="1:50" s="9" customFormat="1" ht="32.25" customHeight="1" thickTop="1" x14ac:dyDescent="0.2">
      <c r="A38" s="57"/>
      <c r="B38" s="57"/>
      <c r="D38" s="9" t="b">
        <f t="shared" ref="D38:AM38" si="13">D37=D3</f>
        <v>0</v>
      </c>
      <c r="E38" s="9" t="b">
        <f t="shared" si="13"/>
        <v>1</v>
      </c>
      <c r="F38" s="9" t="b">
        <f t="shared" si="13"/>
        <v>1</v>
      </c>
      <c r="G38" s="9" t="b">
        <f t="shared" si="13"/>
        <v>0</v>
      </c>
      <c r="H38" s="9" t="b">
        <f t="shared" si="13"/>
        <v>1</v>
      </c>
      <c r="I38" s="9" t="b">
        <f t="shared" si="13"/>
        <v>1</v>
      </c>
      <c r="J38" s="9" t="b">
        <f t="shared" si="13"/>
        <v>0</v>
      </c>
      <c r="K38" s="9" t="b">
        <f t="shared" si="13"/>
        <v>1</v>
      </c>
      <c r="L38" s="9" t="b">
        <f t="shared" si="13"/>
        <v>1</v>
      </c>
      <c r="M38" s="9" t="b">
        <f t="shared" si="13"/>
        <v>1</v>
      </c>
      <c r="N38" s="9" t="b">
        <f t="shared" si="13"/>
        <v>1</v>
      </c>
      <c r="O38" s="9" t="b">
        <f t="shared" si="13"/>
        <v>1</v>
      </c>
      <c r="P38" s="9" t="b">
        <f t="shared" si="13"/>
        <v>1</v>
      </c>
      <c r="Q38" s="9" t="b">
        <f t="shared" si="13"/>
        <v>1</v>
      </c>
      <c r="R38" s="9" t="b">
        <f t="shared" si="13"/>
        <v>1</v>
      </c>
      <c r="S38" s="9" t="b">
        <f t="shared" si="13"/>
        <v>1</v>
      </c>
      <c r="T38" s="9" t="b">
        <f t="shared" si="13"/>
        <v>1</v>
      </c>
      <c r="U38" s="9" t="b">
        <f t="shared" si="13"/>
        <v>1</v>
      </c>
      <c r="V38" s="9" t="b">
        <f t="shared" si="13"/>
        <v>1</v>
      </c>
      <c r="W38" s="9" t="b">
        <f t="shared" si="13"/>
        <v>1</v>
      </c>
      <c r="X38" s="9" t="b">
        <f t="shared" si="13"/>
        <v>1</v>
      </c>
      <c r="Y38" s="9" t="b">
        <f t="shared" si="13"/>
        <v>1</v>
      </c>
      <c r="Z38" s="9" t="b">
        <f t="shared" si="13"/>
        <v>1</v>
      </c>
      <c r="AA38" s="9" t="b">
        <f t="shared" si="13"/>
        <v>1</v>
      </c>
      <c r="AB38" s="9" t="b">
        <f t="shared" si="13"/>
        <v>1</v>
      </c>
      <c r="AC38" s="9" t="b">
        <f t="shared" si="13"/>
        <v>0</v>
      </c>
      <c r="AD38" s="9" t="b">
        <f t="shared" si="13"/>
        <v>1</v>
      </c>
      <c r="AE38" s="9" t="b">
        <f t="shared" si="13"/>
        <v>1</v>
      </c>
      <c r="AF38" s="9" t="b">
        <f t="shared" si="13"/>
        <v>1</v>
      </c>
      <c r="AG38" s="9" t="b">
        <f t="shared" si="13"/>
        <v>1</v>
      </c>
      <c r="AH38" s="9" t="b">
        <f t="shared" si="13"/>
        <v>1</v>
      </c>
      <c r="AI38" s="9" t="b">
        <f t="shared" si="13"/>
        <v>1</v>
      </c>
      <c r="AJ38" s="9" t="b">
        <f t="shared" si="13"/>
        <v>1</v>
      </c>
      <c r="AK38" s="9" t="b">
        <f t="shared" si="13"/>
        <v>1</v>
      </c>
      <c r="AL38" s="9" t="b">
        <f t="shared" si="13"/>
        <v>1</v>
      </c>
      <c r="AM38" s="9" t="b">
        <f t="shared" si="13"/>
        <v>1</v>
      </c>
      <c r="AN38" s="405" t="s">
        <v>173</v>
      </c>
      <c r="AO38" s="405"/>
      <c r="AP38" s="405"/>
      <c r="AQ38" s="72"/>
      <c r="AS38" s="73">
        <f>AP36+AN36</f>
        <v>5686501.2871000003</v>
      </c>
      <c r="AX38" s="9" t="s">
        <v>214</v>
      </c>
    </row>
    <row r="39" spans="1:50" s="9" customFormat="1" ht="32.25" customHeight="1" x14ac:dyDescent="0.2">
      <c r="A39" s="57"/>
      <c r="B39" s="57"/>
      <c r="D39" s="92">
        <f>(D37+F37)-D3</f>
        <v>636999.99999999814</v>
      </c>
      <c r="E39" s="92">
        <f>E37-E3</f>
        <v>0</v>
      </c>
      <c r="F39" s="72">
        <f>D36+F36</f>
        <v>997116.95371666679</v>
      </c>
      <c r="AL39" s="9">
        <f>3360000+14400</f>
        <v>3374400</v>
      </c>
      <c r="AN39" s="406">
        <f>AN37+AO37+AP37</f>
        <v>157791431.46357125</v>
      </c>
      <c r="AO39" s="407"/>
      <c r="AP39" s="407"/>
      <c r="AS39" s="73"/>
      <c r="AX39" s="9" t="s">
        <v>215</v>
      </c>
    </row>
    <row r="40" spans="1:50" s="9" customFormat="1" ht="12.75" x14ac:dyDescent="0.2">
      <c r="A40" s="57"/>
      <c r="B40" s="57"/>
      <c r="AN40" s="72">
        <f>163067563.76-AN37</f>
        <v>48473264.909778774</v>
      </c>
      <c r="AQ40" s="73">
        <f>23534378.88+55000</f>
        <v>23589378.879999999</v>
      </c>
      <c r="AS40" s="73"/>
    </row>
    <row r="41" spans="1:50" s="9" customFormat="1" ht="12.75" x14ac:dyDescent="0.2">
      <c r="A41" s="57"/>
      <c r="B41" s="57"/>
      <c r="AO41" s="9">
        <v>9750000</v>
      </c>
      <c r="AS41" s="73"/>
    </row>
    <row r="42" spans="1:50" s="9" customFormat="1" x14ac:dyDescent="0.2">
      <c r="A42" s="57"/>
      <c r="B42" s="57"/>
      <c r="AO42" s="9">
        <f>AO41-8800000</f>
        <v>950000</v>
      </c>
      <c r="AS42" s="72"/>
    </row>
    <row r="43" spans="1:50" s="9" customFormat="1" x14ac:dyDescent="0.2">
      <c r="A43" s="57"/>
      <c r="B43" s="57"/>
      <c r="AN43" s="72"/>
      <c r="AO43" s="72"/>
      <c r="AP43" s="72"/>
      <c r="AQ43" s="72">
        <f>AQ37-205152344.5</f>
        <v>-47360913.036428779</v>
      </c>
    </row>
    <row r="44" spans="1:50" s="9" customFormat="1" x14ac:dyDescent="0.2">
      <c r="A44" s="57"/>
      <c r="B44" s="57"/>
    </row>
    <row r="45" spans="1:50" s="9" customFormat="1" x14ac:dyDescent="0.2">
      <c r="A45" s="57"/>
      <c r="B45" s="57"/>
    </row>
    <row r="46" spans="1:50" s="9" customFormat="1" ht="12.75" x14ac:dyDescent="0.2">
      <c r="A46" s="57"/>
      <c r="B46" s="57"/>
      <c r="AN46" s="73">
        <v>163105099.51378033</v>
      </c>
      <c r="AO46" s="73">
        <v>41547244.980000004</v>
      </c>
      <c r="AS46" s="72"/>
    </row>
    <row r="47" spans="1:50" s="9" customFormat="1" ht="15" customHeight="1" x14ac:dyDescent="0.2">
      <c r="A47" s="57"/>
      <c r="B47" s="57"/>
    </row>
    <row r="48" spans="1:50" s="9" customFormat="1" x14ac:dyDescent="0.2">
      <c r="A48" s="57"/>
      <c r="B48" s="57"/>
      <c r="AN48" s="72">
        <f>AN46-AN37</f>
        <v>48510800.663559109</v>
      </c>
    </row>
    <row r="49" spans="1:2" s="9" customFormat="1" x14ac:dyDescent="0.2">
      <c r="A49" s="57"/>
      <c r="B49" s="57"/>
    </row>
    <row r="50" spans="1:2" s="9" customFormat="1" x14ac:dyDescent="0.2">
      <c r="A50" s="57"/>
      <c r="B50" s="57"/>
    </row>
    <row r="51" spans="1:2" s="9" customFormat="1" x14ac:dyDescent="0.2">
      <c r="A51" s="57"/>
      <c r="B51" s="57"/>
    </row>
    <row r="52" spans="1:2" s="9" customFormat="1" x14ac:dyDescent="0.2">
      <c r="A52" s="57"/>
      <c r="B52" s="57"/>
    </row>
    <row r="53" spans="1:2" s="9" customFormat="1" x14ac:dyDescent="0.2">
      <c r="A53" s="57"/>
      <c r="B53" s="57"/>
    </row>
    <row r="54" spans="1:2" s="9" customFormat="1" x14ac:dyDescent="0.2">
      <c r="A54" s="57"/>
      <c r="B54" s="57"/>
    </row>
    <row r="55" spans="1:2" s="9" customFormat="1" x14ac:dyDescent="0.2">
      <c r="A55" s="57"/>
      <c r="B55" s="57"/>
    </row>
    <row r="56" spans="1:2" s="9" customFormat="1" x14ac:dyDescent="0.2">
      <c r="A56" s="57"/>
      <c r="B56" s="57"/>
    </row>
    <row r="57" spans="1:2" s="9" customFormat="1" x14ac:dyDescent="0.2">
      <c r="A57" s="57"/>
      <c r="B57" s="57"/>
    </row>
    <row r="58" spans="1:2" s="9" customFormat="1" x14ac:dyDescent="0.2">
      <c r="A58" s="57"/>
      <c r="B58" s="57"/>
    </row>
    <row r="59" spans="1:2" s="9" customFormat="1" x14ac:dyDescent="0.2">
      <c r="A59" s="57"/>
      <c r="B59" s="57"/>
    </row>
    <row r="60" spans="1:2" s="9" customFormat="1" x14ac:dyDescent="0.2">
      <c r="A60" s="57"/>
      <c r="B60" s="57"/>
    </row>
    <row r="61" spans="1:2" s="9" customFormat="1" x14ac:dyDescent="0.2">
      <c r="A61" s="57"/>
      <c r="B61" s="57"/>
    </row>
    <row r="62" spans="1:2" s="9" customFormat="1" x14ac:dyDescent="0.2">
      <c r="A62" s="57"/>
      <c r="B62" s="57"/>
    </row>
    <row r="63" spans="1:2" s="9" customFormat="1" x14ac:dyDescent="0.2">
      <c r="A63" s="57"/>
      <c r="B63" s="57"/>
    </row>
    <row r="64" spans="1:2" s="9" customFormat="1" x14ac:dyDescent="0.2">
      <c r="A64" s="57"/>
      <c r="B64" s="57"/>
    </row>
    <row r="65" spans="1:2" s="9" customFormat="1" x14ac:dyDescent="0.2">
      <c r="A65" s="57"/>
      <c r="B65" s="57"/>
    </row>
    <row r="66" spans="1:2" s="9" customFormat="1" x14ac:dyDescent="0.2">
      <c r="A66" s="57"/>
      <c r="B66" s="57"/>
    </row>
    <row r="67" spans="1:2" s="9" customFormat="1" x14ac:dyDescent="0.2">
      <c r="A67" s="57"/>
      <c r="B67" s="57"/>
    </row>
    <row r="68" spans="1:2" s="9" customFormat="1" x14ac:dyDescent="0.2">
      <c r="A68" s="57"/>
      <c r="B68" s="57"/>
    </row>
    <row r="69" spans="1:2" s="9" customFormat="1" x14ac:dyDescent="0.2">
      <c r="A69" s="57"/>
      <c r="B69" s="57"/>
    </row>
    <row r="70" spans="1:2" s="9" customFormat="1" x14ac:dyDescent="0.2">
      <c r="A70" s="57"/>
      <c r="B70" s="57"/>
    </row>
    <row r="71" spans="1:2" s="9" customFormat="1" x14ac:dyDescent="0.2">
      <c r="A71" s="57"/>
      <c r="B71" s="57"/>
    </row>
    <row r="72" spans="1:2" s="9" customFormat="1" x14ac:dyDescent="0.2">
      <c r="A72" s="57"/>
      <c r="B72" s="57"/>
    </row>
    <row r="73" spans="1:2" s="9" customFormat="1" x14ac:dyDescent="0.2">
      <c r="A73" s="57"/>
      <c r="B73" s="57"/>
    </row>
    <row r="74" spans="1:2" s="9" customFormat="1" x14ac:dyDescent="0.2">
      <c r="A74" s="57"/>
      <c r="B74" s="57"/>
    </row>
    <row r="75" spans="1:2" s="9" customFormat="1" x14ac:dyDescent="0.2">
      <c r="A75" s="57"/>
      <c r="B75" s="57"/>
    </row>
    <row r="76" spans="1:2" s="9" customFormat="1" x14ac:dyDescent="0.2">
      <c r="A76" s="57"/>
      <c r="B76" s="57"/>
    </row>
    <row r="77" spans="1:2" s="9" customFormat="1" x14ac:dyDescent="0.2">
      <c r="A77" s="57"/>
      <c r="B77" s="57"/>
    </row>
    <row r="78" spans="1:2" s="9" customFormat="1" x14ac:dyDescent="0.2">
      <c r="A78" s="57"/>
      <c r="B78" s="57"/>
    </row>
    <row r="79" spans="1:2" s="9" customFormat="1" x14ac:dyDescent="0.2">
      <c r="A79" s="57"/>
      <c r="B79" s="57"/>
    </row>
    <row r="80" spans="1:2" s="9" customFormat="1" x14ac:dyDescent="0.2">
      <c r="A80" s="57"/>
      <c r="B80" s="57"/>
    </row>
    <row r="81" spans="1:2" s="9" customFormat="1" x14ac:dyDescent="0.2">
      <c r="A81" s="57"/>
      <c r="B81" s="57"/>
    </row>
    <row r="82" spans="1:2" s="9" customFormat="1" x14ac:dyDescent="0.2">
      <c r="A82" s="57"/>
      <c r="B82" s="57"/>
    </row>
    <row r="83" spans="1:2" s="9" customFormat="1" x14ac:dyDescent="0.2">
      <c r="A83" s="57"/>
      <c r="B83" s="57"/>
    </row>
    <row r="84" spans="1:2" s="9" customFormat="1" x14ac:dyDescent="0.2">
      <c r="A84" s="57"/>
      <c r="B84" s="57"/>
    </row>
    <row r="85" spans="1:2" s="9" customFormat="1" x14ac:dyDescent="0.2">
      <c r="A85" s="57"/>
      <c r="B85" s="57"/>
    </row>
    <row r="86" spans="1:2" s="9" customFormat="1" x14ac:dyDescent="0.2">
      <c r="A86" s="57"/>
      <c r="B86" s="57"/>
    </row>
    <row r="87" spans="1:2" s="9" customFormat="1" x14ac:dyDescent="0.2">
      <c r="A87" s="57"/>
      <c r="B87" s="57"/>
    </row>
    <row r="88" spans="1:2" s="9" customFormat="1" x14ac:dyDescent="0.2">
      <c r="A88" s="57"/>
      <c r="B88" s="57"/>
    </row>
    <row r="89" spans="1:2" s="9" customFormat="1" x14ac:dyDescent="0.2">
      <c r="A89" s="57"/>
      <c r="B89" s="57"/>
    </row>
    <row r="90" spans="1:2" s="9" customFormat="1" x14ac:dyDescent="0.2">
      <c r="A90" s="57"/>
      <c r="B90" s="57"/>
    </row>
    <row r="91" spans="1:2" s="9" customFormat="1" x14ac:dyDescent="0.2">
      <c r="A91" s="57"/>
      <c r="B91" s="57"/>
    </row>
    <row r="92" spans="1:2" s="9" customFormat="1" x14ac:dyDescent="0.2">
      <c r="A92" s="57"/>
      <c r="B92" s="57"/>
    </row>
    <row r="93" spans="1:2" s="9" customFormat="1" x14ac:dyDescent="0.2">
      <c r="A93" s="57"/>
      <c r="B93" s="57"/>
    </row>
    <row r="94" spans="1:2" s="9" customFormat="1" x14ac:dyDescent="0.2">
      <c r="A94" s="57"/>
      <c r="B94" s="57"/>
    </row>
    <row r="95" spans="1:2" s="9" customFormat="1" x14ac:dyDescent="0.2">
      <c r="A95" s="57"/>
      <c r="B95" s="57"/>
    </row>
    <row r="96" spans="1:2" s="9" customFormat="1" x14ac:dyDescent="0.2">
      <c r="A96" s="57"/>
      <c r="B96" s="57"/>
    </row>
    <row r="97" spans="1:2" s="9" customFormat="1" x14ac:dyDescent="0.2">
      <c r="A97" s="57"/>
      <c r="B97" s="57"/>
    </row>
    <row r="98" spans="1:2" s="9" customFormat="1" x14ac:dyDescent="0.2">
      <c r="A98" s="57"/>
      <c r="B98" s="57"/>
    </row>
    <row r="99" spans="1:2" s="9" customFormat="1" x14ac:dyDescent="0.2">
      <c r="A99" s="57"/>
      <c r="B99" s="57"/>
    </row>
    <row r="100" spans="1:2" s="9" customFormat="1" x14ac:dyDescent="0.2">
      <c r="A100" s="57"/>
      <c r="B100" s="57"/>
    </row>
    <row r="101" spans="1:2" s="9" customFormat="1" x14ac:dyDescent="0.2">
      <c r="A101" s="57"/>
      <c r="B101" s="57"/>
    </row>
    <row r="102" spans="1:2" s="9" customFormat="1" x14ac:dyDescent="0.2">
      <c r="A102" s="57"/>
      <c r="B102" s="57"/>
    </row>
    <row r="103" spans="1:2" s="9" customFormat="1" x14ac:dyDescent="0.2">
      <c r="A103" s="57"/>
      <c r="B103" s="57"/>
    </row>
    <row r="104" spans="1:2" s="9" customFormat="1" x14ac:dyDescent="0.2">
      <c r="A104" s="57"/>
      <c r="B104" s="57"/>
    </row>
    <row r="105" spans="1:2" s="9" customFormat="1" x14ac:dyDescent="0.2">
      <c r="A105" s="57"/>
      <c r="B105" s="57"/>
    </row>
    <row r="106" spans="1:2" s="9" customFormat="1" x14ac:dyDescent="0.2">
      <c r="A106" s="57"/>
      <c r="B106" s="57"/>
    </row>
    <row r="107" spans="1:2" s="9" customFormat="1" ht="52.5" customHeight="1" x14ac:dyDescent="0.2">
      <c r="A107" s="57"/>
      <c r="B107" s="57"/>
    </row>
    <row r="108" spans="1:2" s="9" customFormat="1" ht="33" customHeight="1" x14ac:dyDescent="0.2">
      <c r="A108" s="57"/>
      <c r="B108" s="57"/>
    </row>
    <row r="109" spans="1:2" s="9" customFormat="1" x14ac:dyDescent="0.2">
      <c r="A109" s="57"/>
      <c r="B109" s="57"/>
    </row>
    <row r="110" spans="1:2" s="9" customFormat="1" x14ac:dyDescent="0.2">
      <c r="A110" s="57"/>
      <c r="B110" s="57"/>
    </row>
    <row r="111" spans="1:2" s="9" customFormat="1" x14ac:dyDescent="0.2">
      <c r="A111" s="57"/>
      <c r="B111" s="57"/>
    </row>
    <row r="112" spans="1:2" s="9" customFormat="1" x14ac:dyDescent="0.2">
      <c r="A112" s="57"/>
      <c r="B112" s="57"/>
    </row>
    <row r="113" spans="1:2" s="9" customFormat="1" x14ac:dyDescent="0.2">
      <c r="A113" s="57"/>
      <c r="B113" s="57"/>
    </row>
    <row r="114" spans="1:2" s="9" customFormat="1" x14ac:dyDescent="0.2">
      <c r="A114" s="57"/>
      <c r="B114" s="57"/>
    </row>
    <row r="115" spans="1:2" s="9" customFormat="1" x14ac:dyDescent="0.2">
      <c r="A115" s="57"/>
      <c r="B115" s="57"/>
    </row>
    <row r="116" spans="1:2" s="9" customFormat="1" x14ac:dyDescent="0.2">
      <c r="A116" s="57"/>
      <c r="B116" s="57"/>
    </row>
    <row r="117" spans="1:2" s="9" customFormat="1" x14ac:dyDescent="0.2">
      <c r="A117" s="57"/>
      <c r="B117" s="57"/>
    </row>
    <row r="118" spans="1:2" s="9" customFormat="1" x14ac:dyDescent="0.2">
      <c r="A118" s="57"/>
      <c r="B118" s="57"/>
    </row>
    <row r="119" spans="1:2" s="9" customFormat="1" x14ac:dyDescent="0.2">
      <c r="A119" s="57"/>
      <c r="B119" s="57"/>
    </row>
    <row r="120" spans="1:2" s="9" customFormat="1" x14ac:dyDescent="0.2">
      <c r="A120" s="57"/>
      <c r="B120" s="57"/>
    </row>
    <row r="121" spans="1:2" s="9" customFormat="1" x14ac:dyDescent="0.2">
      <c r="A121" s="57"/>
      <c r="B121" s="57"/>
    </row>
    <row r="122" spans="1:2" s="9" customFormat="1" x14ac:dyDescent="0.2">
      <c r="A122" s="57"/>
      <c r="B122" s="57"/>
    </row>
    <row r="123" spans="1:2" s="9" customFormat="1" x14ac:dyDescent="0.2">
      <c r="A123" s="57"/>
      <c r="B123" s="57"/>
    </row>
    <row r="124" spans="1:2" s="9" customFormat="1" ht="15" customHeight="1" x14ac:dyDescent="0.2">
      <c r="A124" s="57"/>
      <c r="B124" s="57"/>
    </row>
    <row r="125" spans="1:2" s="9" customFormat="1" ht="15" customHeight="1" x14ac:dyDescent="0.2">
      <c r="A125" s="57"/>
      <c r="B125" s="57"/>
    </row>
    <row r="126" spans="1:2" s="9" customFormat="1" x14ac:dyDescent="0.2">
      <c r="A126" s="57"/>
      <c r="B126" s="57"/>
    </row>
    <row r="127" spans="1:2" s="9" customFormat="1" x14ac:dyDescent="0.2">
      <c r="A127" s="57"/>
      <c r="B127" s="57"/>
    </row>
    <row r="128" spans="1:2" s="9" customFormat="1" x14ac:dyDescent="0.2">
      <c r="A128" s="57"/>
      <c r="B128" s="57"/>
    </row>
    <row r="129" spans="1:2" s="9" customFormat="1" x14ac:dyDescent="0.2">
      <c r="A129" s="57"/>
      <c r="B129" s="57"/>
    </row>
    <row r="130" spans="1:2" s="9" customFormat="1" x14ac:dyDescent="0.2">
      <c r="A130" s="57"/>
      <c r="B130" s="57"/>
    </row>
    <row r="131" spans="1:2" s="9" customFormat="1" x14ac:dyDescent="0.2">
      <c r="A131" s="57"/>
      <c r="B131" s="57"/>
    </row>
    <row r="132" spans="1:2" s="9" customFormat="1" x14ac:dyDescent="0.2">
      <c r="A132" s="57"/>
      <c r="B132" s="57"/>
    </row>
    <row r="133" spans="1:2" s="9" customFormat="1" x14ac:dyDescent="0.2">
      <c r="A133" s="57"/>
      <c r="B133" s="57"/>
    </row>
    <row r="134" spans="1:2" s="9" customFormat="1" x14ac:dyDescent="0.2">
      <c r="A134" s="57"/>
      <c r="B134" s="57"/>
    </row>
    <row r="135" spans="1:2" s="9" customFormat="1" x14ac:dyDescent="0.2">
      <c r="A135" s="57"/>
      <c r="B135" s="57"/>
    </row>
    <row r="136" spans="1:2" s="9" customFormat="1" x14ac:dyDescent="0.2">
      <c r="A136" s="57"/>
      <c r="B136" s="57"/>
    </row>
    <row r="137" spans="1:2" s="9" customFormat="1" x14ac:dyDescent="0.2">
      <c r="A137" s="57"/>
      <c r="B137" s="57"/>
    </row>
    <row r="138" spans="1:2" s="9" customFormat="1" x14ac:dyDescent="0.2">
      <c r="A138" s="57"/>
      <c r="B138" s="57"/>
    </row>
    <row r="139" spans="1:2" s="9" customFormat="1" x14ac:dyDescent="0.2">
      <c r="A139" s="57"/>
      <c r="B139" s="57"/>
    </row>
    <row r="140" spans="1:2" s="9" customFormat="1" x14ac:dyDescent="0.2">
      <c r="A140" s="57"/>
      <c r="B140" s="57"/>
    </row>
    <row r="141" spans="1:2" s="9" customFormat="1" x14ac:dyDescent="0.2">
      <c r="A141" s="57"/>
      <c r="B141" s="57"/>
    </row>
    <row r="142" spans="1:2" s="9" customFormat="1" x14ac:dyDescent="0.2">
      <c r="A142" s="57"/>
      <c r="B142" s="57"/>
    </row>
    <row r="143" spans="1:2" s="9" customFormat="1" x14ac:dyDescent="0.2">
      <c r="A143" s="57"/>
      <c r="B143" s="57"/>
    </row>
    <row r="144" spans="1:2" s="9" customFormat="1" x14ac:dyDescent="0.2">
      <c r="A144" s="57"/>
      <c r="B144" s="57"/>
    </row>
    <row r="145" spans="1:2" s="9" customFormat="1" x14ac:dyDescent="0.2">
      <c r="A145" s="57"/>
      <c r="B145" s="57"/>
    </row>
    <row r="146" spans="1:2" s="9" customFormat="1" x14ac:dyDescent="0.2">
      <c r="A146" s="57"/>
      <c r="B146" s="57"/>
    </row>
    <row r="147" spans="1:2" s="9" customFormat="1" x14ac:dyDescent="0.2">
      <c r="A147" s="57"/>
      <c r="B147" s="57"/>
    </row>
    <row r="148" spans="1:2" s="9" customFormat="1" x14ac:dyDescent="0.2">
      <c r="A148" s="57"/>
      <c r="B148" s="57"/>
    </row>
    <row r="149" spans="1:2" s="9" customFormat="1" x14ac:dyDescent="0.2">
      <c r="A149" s="57"/>
      <c r="B149" s="57"/>
    </row>
    <row r="150" spans="1:2" s="9" customFormat="1" x14ac:dyDescent="0.2">
      <c r="A150" s="57"/>
      <c r="B150" s="57"/>
    </row>
    <row r="151" spans="1:2" s="9" customFormat="1" x14ac:dyDescent="0.2">
      <c r="A151" s="57"/>
      <c r="B151" s="57"/>
    </row>
    <row r="152" spans="1:2" s="9" customFormat="1" x14ac:dyDescent="0.2">
      <c r="A152" s="57"/>
      <c r="B152" s="57"/>
    </row>
    <row r="153" spans="1:2" s="9" customFormat="1" x14ac:dyDescent="0.2">
      <c r="A153" s="57"/>
      <c r="B153" s="57"/>
    </row>
    <row r="154" spans="1:2" s="9" customFormat="1" x14ac:dyDescent="0.2">
      <c r="A154" s="57"/>
      <c r="B154" s="57"/>
    </row>
    <row r="155" spans="1:2" s="9" customFormat="1" x14ac:dyDescent="0.2">
      <c r="A155" s="57"/>
      <c r="B155" s="57"/>
    </row>
    <row r="156" spans="1:2" s="9" customFormat="1" x14ac:dyDescent="0.2">
      <c r="A156" s="57"/>
      <c r="B156" s="57"/>
    </row>
    <row r="157" spans="1:2" s="9" customFormat="1" x14ac:dyDescent="0.2">
      <c r="A157" s="57"/>
      <c r="B157" s="57"/>
    </row>
    <row r="158" spans="1:2" s="9" customFormat="1" x14ac:dyDescent="0.2">
      <c r="A158" s="57"/>
      <c r="B158" s="57"/>
    </row>
    <row r="159" spans="1:2" s="9" customFormat="1" x14ac:dyDescent="0.2">
      <c r="A159" s="57"/>
      <c r="B159" s="57"/>
    </row>
    <row r="160" spans="1:2" s="9" customFormat="1" x14ac:dyDescent="0.2">
      <c r="A160" s="57"/>
      <c r="B160" s="57"/>
    </row>
    <row r="161" spans="1:2" s="9" customFormat="1" x14ac:dyDescent="0.2">
      <c r="A161" s="57"/>
      <c r="B161" s="57"/>
    </row>
    <row r="162" spans="1:2" s="9" customFormat="1" x14ac:dyDescent="0.2">
      <c r="A162" s="57"/>
      <c r="B162" s="57"/>
    </row>
    <row r="163" spans="1:2" s="9" customFormat="1" x14ac:dyDescent="0.2">
      <c r="A163" s="57"/>
      <c r="B163" s="57"/>
    </row>
    <row r="164" spans="1:2" s="9" customFormat="1" x14ac:dyDescent="0.2">
      <c r="A164" s="57"/>
      <c r="B164" s="57"/>
    </row>
    <row r="165" spans="1:2" s="9" customFormat="1" ht="15.75" customHeight="1" x14ac:dyDescent="0.2">
      <c r="A165" s="57"/>
      <c r="B165" s="57"/>
    </row>
    <row r="166" spans="1:2" s="9" customFormat="1" x14ac:dyDescent="0.2">
      <c r="A166" s="57"/>
      <c r="B166" s="57"/>
    </row>
    <row r="167" spans="1:2" s="9" customFormat="1" x14ac:dyDescent="0.2">
      <c r="A167" s="57"/>
      <c r="B167" s="57"/>
    </row>
    <row r="168" spans="1:2" s="9" customFormat="1" x14ac:dyDescent="0.2">
      <c r="A168" s="57"/>
      <c r="B168" s="57"/>
    </row>
    <row r="169" spans="1:2" s="9" customFormat="1" x14ac:dyDescent="0.2">
      <c r="A169" s="57"/>
      <c r="B169" s="57"/>
    </row>
    <row r="170" spans="1:2" s="9" customFormat="1" x14ac:dyDescent="0.2">
      <c r="A170" s="57"/>
      <c r="B170" s="57"/>
    </row>
    <row r="171" spans="1:2" s="9" customFormat="1" x14ac:dyDescent="0.2">
      <c r="A171" s="57"/>
      <c r="B171" s="57"/>
    </row>
    <row r="172" spans="1:2" s="9" customFormat="1" x14ac:dyDescent="0.2">
      <c r="A172" s="57"/>
      <c r="B172" s="57"/>
    </row>
    <row r="173" spans="1:2" s="9" customFormat="1" x14ac:dyDescent="0.2">
      <c r="A173" s="57"/>
      <c r="B173" s="57"/>
    </row>
    <row r="174" spans="1:2" s="9" customFormat="1" x14ac:dyDescent="0.2">
      <c r="A174" s="57"/>
      <c r="B174" s="57"/>
    </row>
    <row r="175" spans="1:2" s="9" customFormat="1" x14ac:dyDescent="0.2">
      <c r="A175" s="57"/>
      <c r="B175" s="57"/>
    </row>
    <row r="176" spans="1:2" s="9" customFormat="1" x14ac:dyDescent="0.2">
      <c r="A176" s="57"/>
      <c r="B176" s="57"/>
    </row>
    <row r="177" spans="1:2" s="9" customFormat="1" x14ac:dyDescent="0.2">
      <c r="A177" s="57"/>
      <c r="B177" s="57"/>
    </row>
    <row r="178" spans="1:2" s="9" customFormat="1" x14ac:dyDescent="0.2">
      <c r="A178" s="57"/>
      <c r="B178" s="57"/>
    </row>
    <row r="179" spans="1:2" s="9" customFormat="1" x14ac:dyDescent="0.2">
      <c r="A179" s="57"/>
      <c r="B179" s="57"/>
    </row>
    <row r="180" spans="1:2" s="9" customFormat="1" x14ac:dyDescent="0.2">
      <c r="A180" s="57"/>
      <c r="B180" s="57"/>
    </row>
    <row r="181" spans="1:2" s="9" customFormat="1" x14ac:dyDescent="0.2">
      <c r="A181" s="57"/>
      <c r="B181" s="57"/>
    </row>
    <row r="182" spans="1:2" s="9" customFormat="1" x14ac:dyDescent="0.2">
      <c r="A182" s="57"/>
      <c r="B182" s="57"/>
    </row>
    <row r="183" spans="1:2" s="9" customFormat="1" x14ac:dyDescent="0.2">
      <c r="A183" s="57"/>
      <c r="B183" s="57"/>
    </row>
    <row r="184" spans="1:2" s="9" customFormat="1" x14ac:dyDescent="0.2">
      <c r="A184" s="57"/>
      <c r="B184" s="57"/>
    </row>
    <row r="185" spans="1:2" s="9" customFormat="1" x14ac:dyDescent="0.2">
      <c r="A185" s="57"/>
      <c r="B185" s="57"/>
    </row>
    <row r="186" spans="1:2" s="9" customFormat="1" x14ac:dyDescent="0.2">
      <c r="A186" s="57"/>
      <c r="B186" s="57"/>
    </row>
    <row r="187" spans="1:2" s="9" customFormat="1" x14ac:dyDescent="0.2">
      <c r="A187" s="57"/>
      <c r="B187" s="57"/>
    </row>
    <row r="188" spans="1:2" s="9" customFormat="1" x14ac:dyDescent="0.2">
      <c r="A188" s="57"/>
      <c r="B188" s="57"/>
    </row>
    <row r="189" spans="1:2" s="9" customFormat="1" x14ac:dyDescent="0.2">
      <c r="A189" s="57"/>
      <c r="B189" s="57"/>
    </row>
    <row r="190" spans="1:2" s="9" customFormat="1" x14ac:dyDescent="0.2">
      <c r="A190" s="57"/>
      <c r="B190" s="57"/>
    </row>
    <row r="191" spans="1:2" s="9" customFormat="1" x14ac:dyDescent="0.2">
      <c r="A191" s="57"/>
      <c r="B191" s="57"/>
    </row>
    <row r="192" spans="1:2" s="9" customFormat="1" x14ac:dyDescent="0.2">
      <c r="A192" s="57"/>
      <c r="B192" s="57"/>
    </row>
    <row r="193" spans="1:2" s="9" customFormat="1" x14ac:dyDescent="0.2">
      <c r="A193" s="57"/>
      <c r="B193" s="57"/>
    </row>
    <row r="194" spans="1:2" s="9" customFormat="1" x14ac:dyDescent="0.2">
      <c r="A194" s="57"/>
      <c r="B194" s="57"/>
    </row>
    <row r="195" spans="1:2" s="9" customFormat="1" x14ac:dyDescent="0.2">
      <c r="A195" s="57"/>
      <c r="B195" s="57"/>
    </row>
    <row r="196" spans="1:2" s="9" customFormat="1" x14ac:dyDescent="0.2">
      <c r="A196" s="57"/>
      <c r="B196" s="57"/>
    </row>
    <row r="197" spans="1:2" s="9" customFormat="1" x14ac:dyDescent="0.2">
      <c r="A197" s="57"/>
      <c r="B197" s="57"/>
    </row>
    <row r="198" spans="1:2" s="9" customFormat="1" x14ac:dyDescent="0.2">
      <c r="A198" s="57"/>
      <c r="B198" s="57"/>
    </row>
    <row r="199" spans="1:2" s="9" customFormat="1" x14ac:dyDescent="0.2">
      <c r="A199" s="57"/>
      <c r="B199" s="57"/>
    </row>
    <row r="200" spans="1:2" s="9" customFormat="1" x14ac:dyDescent="0.2">
      <c r="A200" s="57"/>
      <c r="B200" s="57"/>
    </row>
    <row r="201" spans="1:2" s="9" customFormat="1" x14ac:dyDescent="0.2">
      <c r="A201" s="57"/>
      <c r="B201" s="57"/>
    </row>
    <row r="202" spans="1:2" s="9" customFormat="1" x14ac:dyDescent="0.2">
      <c r="A202" s="57"/>
      <c r="B202" s="57"/>
    </row>
    <row r="203" spans="1:2" s="9" customFormat="1" x14ac:dyDescent="0.2">
      <c r="A203" s="57"/>
      <c r="B203" s="57"/>
    </row>
    <row r="204" spans="1:2" s="9" customFormat="1" x14ac:dyDescent="0.2">
      <c r="A204" s="57"/>
      <c r="B204" s="57"/>
    </row>
    <row r="205" spans="1:2" s="9" customFormat="1" x14ac:dyDescent="0.2">
      <c r="A205" s="57"/>
      <c r="B205" s="57"/>
    </row>
    <row r="206" spans="1:2" s="9" customFormat="1" x14ac:dyDescent="0.2">
      <c r="A206" s="57"/>
      <c r="B206" s="57"/>
    </row>
    <row r="207" spans="1:2" s="9" customFormat="1" x14ac:dyDescent="0.2">
      <c r="A207" s="57"/>
      <c r="B207" s="57"/>
    </row>
    <row r="208" spans="1:2" s="9" customFormat="1" x14ac:dyDescent="0.2">
      <c r="A208" s="57"/>
      <c r="B208" s="57"/>
    </row>
    <row r="209" spans="1:2" s="9" customFormat="1" x14ac:dyDescent="0.2">
      <c r="A209" s="57"/>
      <c r="B209" s="57"/>
    </row>
    <row r="210" spans="1:2" s="9" customFormat="1" x14ac:dyDescent="0.2">
      <c r="A210" s="57"/>
      <c r="B210" s="57"/>
    </row>
    <row r="211" spans="1:2" s="9" customFormat="1" x14ac:dyDescent="0.2">
      <c r="A211" s="57"/>
      <c r="B211" s="57"/>
    </row>
    <row r="212" spans="1:2" s="9" customFormat="1" x14ac:dyDescent="0.2">
      <c r="A212" s="57"/>
      <c r="B212" s="57"/>
    </row>
    <row r="213" spans="1:2" s="9" customFormat="1" x14ac:dyDescent="0.2">
      <c r="A213" s="57"/>
      <c r="B213" s="57"/>
    </row>
    <row r="214" spans="1:2" s="9" customFormat="1" x14ac:dyDescent="0.2">
      <c r="A214" s="57"/>
      <c r="B214" s="57"/>
    </row>
    <row r="215" spans="1:2" s="9" customFormat="1" x14ac:dyDescent="0.2">
      <c r="A215" s="57"/>
      <c r="B215" s="57"/>
    </row>
    <row r="216" spans="1:2" s="9" customFormat="1" x14ac:dyDescent="0.2">
      <c r="A216" s="57"/>
      <c r="B216" s="57"/>
    </row>
    <row r="217" spans="1:2" s="9" customFormat="1" x14ac:dyDescent="0.2">
      <c r="A217" s="57"/>
      <c r="B217" s="57"/>
    </row>
    <row r="218" spans="1:2" s="9" customFormat="1" x14ac:dyDescent="0.2">
      <c r="A218" s="57"/>
      <c r="B218" s="57"/>
    </row>
    <row r="219" spans="1:2" s="9" customFormat="1" x14ac:dyDescent="0.2">
      <c r="A219" s="57"/>
      <c r="B219" s="57"/>
    </row>
    <row r="220" spans="1:2" s="9" customFormat="1" x14ac:dyDescent="0.2">
      <c r="A220" s="57"/>
      <c r="B220" s="57"/>
    </row>
    <row r="221" spans="1:2" s="9" customFormat="1" x14ac:dyDescent="0.2">
      <c r="A221" s="57"/>
      <c r="B221" s="57"/>
    </row>
    <row r="222" spans="1:2" s="9" customFormat="1" x14ac:dyDescent="0.2">
      <c r="A222" s="57"/>
      <c r="B222" s="57"/>
    </row>
    <row r="223" spans="1:2" s="9" customFormat="1" x14ac:dyDescent="0.2">
      <c r="A223" s="57"/>
      <c r="B223" s="57"/>
    </row>
    <row r="224" spans="1:2" s="9" customFormat="1" x14ac:dyDescent="0.2">
      <c r="A224" s="57"/>
      <c r="B224" s="57"/>
    </row>
    <row r="225" spans="1:2" s="9" customFormat="1" x14ac:dyDescent="0.2">
      <c r="A225" s="57"/>
      <c r="B225" s="57"/>
    </row>
    <row r="226" spans="1:2" s="9" customFormat="1" x14ac:dyDescent="0.2">
      <c r="A226" s="57"/>
      <c r="B226" s="57"/>
    </row>
    <row r="227" spans="1:2" s="9" customFormat="1" x14ac:dyDescent="0.2">
      <c r="A227" s="57"/>
      <c r="B227" s="57"/>
    </row>
    <row r="228" spans="1:2" s="9" customFormat="1" x14ac:dyDescent="0.2">
      <c r="A228" s="57"/>
      <c r="B228" s="57"/>
    </row>
    <row r="229" spans="1:2" s="9" customFormat="1" x14ac:dyDescent="0.2">
      <c r="A229" s="57"/>
      <c r="B229" s="57"/>
    </row>
    <row r="230" spans="1:2" s="9" customFormat="1" x14ac:dyDescent="0.2">
      <c r="A230" s="57"/>
      <c r="B230" s="57"/>
    </row>
    <row r="231" spans="1:2" s="9" customFormat="1" x14ac:dyDescent="0.2">
      <c r="A231" s="57"/>
      <c r="B231" s="57"/>
    </row>
    <row r="232" spans="1:2" s="9" customFormat="1" x14ac:dyDescent="0.2">
      <c r="A232" s="57"/>
      <c r="B232" s="57"/>
    </row>
    <row r="233" spans="1:2" s="9" customFormat="1" x14ac:dyDescent="0.2">
      <c r="A233" s="57"/>
      <c r="B233" s="57"/>
    </row>
    <row r="234" spans="1:2" s="9" customFormat="1" x14ac:dyDescent="0.2">
      <c r="A234" s="57"/>
      <c r="B234" s="57"/>
    </row>
    <row r="235" spans="1:2" s="9" customFormat="1" x14ac:dyDescent="0.2">
      <c r="A235" s="57"/>
      <c r="B235" s="57"/>
    </row>
    <row r="236" spans="1:2" s="9" customFormat="1" x14ac:dyDescent="0.2">
      <c r="A236" s="57"/>
      <c r="B236" s="57"/>
    </row>
    <row r="237" spans="1:2" s="9" customFormat="1" x14ac:dyDescent="0.2">
      <c r="A237" s="57"/>
      <c r="B237" s="57"/>
    </row>
    <row r="238" spans="1:2" s="9" customFormat="1" x14ac:dyDescent="0.2">
      <c r="A238" s="57"/>
      <c r="B238" s="57"/>
    </row>
    <row r="239" spans="1:2" s="9" customFormat="1" x14ac:dyDescent="0.2">
      <c r="A239" s="57"/>
      <c r="B239" s="57"/>
    </row>
    <row r="240" spans="1:2" s="9" customFormat="1" x14ac:dyDescent="0.2">
      <c r="A240" s="57"/>
      <c r="B240" s="57"/>
    </row>
    <row r="241" spans="1:2" s="9" customFormat="1" x14ac:dyDescent="0.2">
      <c r="A241" s="57"/>
      <c r="B241" s="57"/>
    </row>
    <row r="242" spans="1:2" s="9" customFormat="1" x14ac:dyDescent="0.2">
      <c r="A242" s="57"/>
      <c r="B242" s="57"/>
    </row>
    <row r="243" spans="1:2" s="9" customFormat="1" x14ac:dyDescent="0.2">
      <c r="A243" s="57"/>
      <c r="B243" s="57"/>
    </row>
    <row r="244" spans="1:2" s="9" customFormat="1" x14ac:dyDescent="0.2">
      <c r="A244" s="57"/>
      <c r="B244" s="57"/>
    </row>
    <row r="245" spans="1:2" s="9" customFormat="1" x14ac:dyDescent="0.2">
      <c r="A245" s="57"/>
      <c r="B245" s="57"/>
    </row>
    <row r="246" spans="1:2" s="9" customFormat="1" x14ac:dyDescent="0.2">
      <c r="A246" s="57"/>
      <c r="B246" s="57"/>
    </row>
    <row r="247" spans="1:2" s="9" customFormat="1" x14ac:dyDescent="0.2">
      <c r="A247" s="57"/>
      <c r="B247" s="57"/>
    </row>
    <row r="248" spans="1:2" s="9" customFormat="1" x14ac:dyDescent="0.2">
      <c r="A248" s="57"/>
      <c r="B248" s="57"/>
    </row>
  </sheetData>
  <mergeCells count="156">
    <mergeCell ref="A4:C7"/>
    <mergeCell ref="D4:L4"/>
    <mergeCell ref="D5:F5"/>
    <mergeCell ref="G5:I5"/>
    <mergeCell ref="J5:L5"/>
    <mergeCell ref="A8:A11"/>
    <mergeCell ref="D17:D18"/>
    <mergeCell ref="E17:E18"/>
    <mergeCell ref="F17:F18"/>
    <mergeCell ref="G17:G18"/>
    <mergeCell ref="D15:D16"/>
    <mergeCell ref="E15:E16"/>
    <mergeCell ref="F15:F16"/>
    <mergeCell ref="H15:H16"/>
    <mergeCell ref="G15:G16"/>
    <mergeCell ref="I15:I16"/>
    <mergeCell ref="J15:J16"/>
    <mergeCell ref="K15:K16"/>
    <mergeCell ref="A12:A13"/>
    <mergeCell ref="A15:A18"/>
    <mergeCell ref="B15:B16"/>
    <mergeCell ref="A26:A35"/>
    <mergeCell ref="B26:B35"/>
    <mergeCell ref="E26:E35"/>
    <mergeCell ref="H26:H35"/>
    <mergeCell ref="K26:K35"/>
    <mergeCell ref="L15:L16"/>
    <mergeCell ref="B17:B18"/>
    <mergeCell ref="L17:L18"/>
    <mergeCell ref="A20:A25"/>
    <mergeCell ref="B20:B25"/>
    <mergeCell ref="E20:E25"/>
    <mergeCell ref="H20:H25"/>
    <mergeCell ref="K20:K25"/>
    <mergeCell ref="M4:U4"/>
    <mergeCell ref="M5:O5"/>
    <mergeCell ref="P5:R5"/>
    <mergeCell ref="S5:U5"/>
    <mergeCell ref="U17:U18"/>
    <mergeCell ref="H17:H18"/>
    <mergeCell ref="I17:I18"/>
    <mergeCell ref="J17:J18"/>
    <mergeCell ref="M17:M18"/>
    <mergeCell ref="N17:N18"/>
    <mergeCell ref="O17:O18"/>
    <mergeCell ref="P17:P18"/>
    <mergeCell ref="Q17:Q18"/>
    <mergeCell ref="K17:K18"/>
    <mergeCell ref="T15:T16"/>
    <mergeCell ref="M15:M16"/>
    <mergeCell ref="N15:N16"/>
    <mergeCell ref="O15:O16"/>
    <mergeCell ref="R17:R18"/>
    <mergeCell ref="S17:S18"/>
    <mergeCell ref="T17:T18"/>
    <mergeCell ref="AU15:AU16"/>
    <mergeCell ref="AV15:AV16"/>
    <mergeCell ref="AT15:AT16"/>
    <mergeCell ref="Z15:Z16"/>
    <mergeCell ref="AI17:AI18"/>
    <mergeCell ref="AJ17:AJ18"/>
    <mergeCell ref="AW15:AW16"/>
    <mergeCell ref="AU17:AU18"/>
    <mergeCell ref="AV17:AV18"/>
    <mergeCell ref="AW17:AW18"/>
    <mergeCell ref="AP17:AP18"/>
    <mergeCell ref="AN15:AN16"/>
    <mergeCell ref="AO15:AO16"/>
    <mergeCell ref="AP15:AP16"/>
    <mergeCell ref="AS17:AS18"/>
    <mergeCell ref="AT17:AT18"/>
    <mergeCell ref="AB17:AB18"/>
    <mergeCell ref="AD17:AD18"/>
    <mergeCell ref="AS15:AS16"/>
    <mergeCell ref="V4:AD4"/>
    <mergeCell ref="V5:X5"/>
    <mergeCell ref="Y5:AA5"/>
    <mergeCell ref="AB5:AD5"/>
    <mergeCell ref="Z17:Z18"/>
    <mergeCell ref="AA17:AA18"/>
    <mergeCell ref="V17:V18"/>
    <mergeCell ref="W17:W18"/>
    <mergeCell ref="AC17:AC18"/>
    <mergeCell ref="Y15:Y16"/>
    <mergeCell ref="V15:V16"/>
    <mergeCell ref="W15:W16"/>
    <mergeCell ref="X15:X16"/>
    <mergeCell ref="AD15:AD16"/>
    <mergeCell ref="AA15:AA16"/>
    <mergeCell ref="AB15:AB16"/>
    <mergeCell ref="AC15:AC16"/>
    <mergeCell ref="X17:X18"/>
    <mergeCell ref="Y17:Y18"/>
    <mergeCell ref="AK15:AK16"/>
    <mergeCell ref="AI20:AI25"/>
    <mergeCell ref="AK17:AK18"/>
    <mergeCell ref="AL15:AL16"/>
    <mergeCell ref="AE15:AE16"/>
    <mergeCell ref="AF15:AF16"/>
    <mergeCell ref="AG15:AG16"/>
    <mergeCell ref="AF20:AF25"/>
    <mergeCell ref="N26:N35"/>
    <mergeCell ref="Q26:Q35"/>
    <mergeCell ref="T26:T35"/>
    <mergeCell ref="N20:N25"/>
    <mergeCell ref="Q20:Q25"/>
    <mergeCell ref="W26:W35"/>
    <mergeCell ref="T20:T25"/>
    <mergeCell ref="U15:U16"/>
    <mergeCell ref="P15:P16"/>
    <mergeCell ref="Q15:Q16"/>
    <mergeCell ref="S15:S16"/>
    <mergeCell ref="R15:R16"/>
    <mergeCell ref="AL20:AL25"/>
    <mergeCell ref="A37:C37"/>
    <mergeCell ref="AN38:AP38"/>
    <mergeCell ref="AN39:AP39"/>
    <mergeCell ref="AQ26:AQ35"/>
    <mergeCell ref="AO26:AO35"/>
    <mergeCell ref="AW26:AW35"/>
    <mergeCell ref="AT20:AT25"/>
    <mergeCell ref="AW20:AW25"/>
    <mergeCell ref="AT26:AT35"/>
    <mergeCell ref="AV26:AV35"/>
    <mergeCell ref="AS26:AS35"/>
    <mergeCell ref="AU26:AU35"/>
    <mergeCell ref="Z26:Z35"/>
    <mergeCell ref="AC26:AC35"/>
    <mergeCell ref="W20:W25"/>
    <mergeCell ref="Z20:Z25"/>
    <mergeCell ref="AC20:AC25"/>
    <mergeCell ref="AQ20:AQ25"/>
    <mergeCell ref="AN4:AQ4"/>
    <mergeCell ref="AN5:AQ5"/>
    <mergeCell ref="AQ17:AQ18"/>
    <mergeCell ref="AQ15:AQ16"/>
    <mergeCell ref="AO20:AO25"/>
    <mergeCell ref="AN17:AN18"/>
    <mergeCell ref="AO17:AO18"/>
    <mergeCell ref="AF26:AF35"/>
    <mergeCell ref="AI26:AI35"/>
    <mergeCell ref="AL26:AL35"/>
    <mergeCell ref="AM15:AM16"/>
    <mergeCell ref="AH15:AH16"/>
    <mergeCell ref="AI15:AI16"/>
    <mergeCell ref="AE4:AM4"/>
    <mergeCell ref="AE5:AG5"/>
    <mergeCell ref="AH5:AJ5"/>
    <mergeCell ref="AK5:AM5"/>
    <mergeCell ref="AE17:AE18"/>
    <mergeCell ref="AF17:AF18"/>
    <mergeCell ref="AL17:AL18"/>
    <mergeCell ref="AM17:AM18"/>
    <mergeCell ref="AG17:AG18"/>
    <mergeCell ref="AH17:AH18"/>
    <mergeCell ref="AJ15:AJ16"/>
  </mergeCells>
  <pageMargins left="0.511811024" right="0.511811024" top="0.78740157499999996" bottom="0.78740157499999996" header="0.31496062000000002" footer="0.31496062000000002"/>
  <pageSetup paperSize="9" scale="1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V124"/>
  <sheetViews>
    <sheetView topLeftCell="A3" workbookViewId="0">
      <pane xSplit="1" ySplit="3" topLeftCell="B22" activePane="bottomRight" state="frozen"/>
      <selection pane="topRight" activeCell="B3" sqref="B3"/>
      <selection pane="bottomLeft" activeCell="A6" sqref="A6"/>
      <selection pane="bottomRight" activeCell="D30" sqref="D30"/>
    </sheetView>
  </sheetViews>
  <sheetFormatPr defaultRowHeight="15" x14ac:dyDescent="0.25"/>
  <cols>
    <col min="1" max="1" width="56.7109375" bestFit="1" customWidth="1"/>
    <col min="2" max="2" width="20.85546875" customWidth="1"/>
    <col min="3" max="3" width="20" customWidth="1"/>
    <col min="4" max="4" width="20.85546875" customWidth="1"/>
    <col min="5" max="5" width="20.85546875" hidden="1" customWidth="1"/>
    <col min="6" max="6" width="16.42578125" bestFit="1" customWidth="1"/>
    <col min="7" max="11" width="15.28515625" bestFit="1" customWidth="1"/>
    <col min="12" max="17" width="17.85546875" customWidth="1"/>
    <col min="18" max="18" width="17.5703125" customWidth="1"/>
    <col min="19" max="19" width="16.7109375" customWidth="1"/>
  </cols>
  <sheetData>
    <row r="1" spans="1:19" ht="45" customHeight="1" thickBot="1" x14ac:dyDescent="0.3">
      <c r="B1" s="94">
        <f>B7+B8+B9</f>
        <v>146403045</v>
      </c>
      <c r="C1" s="94">
        <f>C7+C8+C9</f>
        <v>163605099.50999999</v>
      </c>
      <c r="D1" s="94">
        <f>D7+D8+D9</f>
        <v>115239798.82814693</v>
      </c>
      <c r="E1" s="94">
        <f>E7+E8+E9</f>
        <v>114045658.44714694</v>
      </c>
      <c r="F1" s="94">
        <f>F7+F8+F9</f>
        <v>10173233.629721213</v>
      </c>
    </row>
    <row r="2" spans="1:19" ht="16.5" thickTop="1" thickBot="1" x14ac:dyDescent="0.3">
      <c r="A2" s="95"/>
      <c r="B2" s="96"/>
      <c r="C2" s="96"/>
      <c r="D2" s="97" t="s">
        <v>174</v>
      </c>
      <c r="E2" s="98"/>
      <c r="F2" s="98"/>
      <c r="G2" s="98"/>
      <c r="H2" s="98"/>
      <c r="I2" s="98"/>
      <c r="J2" s="98"/>
      <c r="K2" s="98"/>
      <c r="L2" s="98"/>
      <c r="M2" s="98"/>
      <c r="N2" s="98"/>
      <c r="O2" s="98"/>
      <c r="P2" s="98"/>
      <c r="Q2" s="98"/>
    </row>
    <row r="3" spans="1:19" ht="16.5" customHeight="1" thickTop="1" thickBot="1" x14ac:dyDescent="0.3">
      <c r="A3" s="443" t="s">
        <v>216</v>
      </c>
      <c r="B3" s="444" t="s">
        <v>217</v>
      </c>
      <c r="C3" s="444" t="s">
        <v>218</v>
      </c>
      <c r="D3" s="446" t="s">
        <v>219</v>
      </c>
      <c r="E3" s="446" t="s">
        <v>220</v>
      </c>
      <c r="F3" s="442" t="s">
        <v>161</v>
      </c>
      <c r="G3" s="442" t="s">
        <v>162</v>
      </c>
      <c r="H3" s="442" t="s">
        <v>163</v>
      </c>
      <c r="I3" s="442" t="s">
        <v>164</v>
      </c>
      <c r="J3" s="442" t="s">
        <v>165</v>
      </c>
      <c r="K3" s="442" t="s">
        <v>166</v>
      </c>
      <c r="L3" s="442" t="s">
        <v>167</v>
      </c>
      <c r="M3" s="442" t="s">
        <v>168</v>
      </c>
      <c r="N3" s="442" t="s">
        <v>169</v>
      </c>
      <c r="O3" s="442" t="s">
        <v>170</v>
      </c>
      <c r="P3" s="442" t="s">
        <v>171</v>
      </c>
      <c r="Q3" s="442" t="s">
        <v>172</v>
      </c>
    </row>
    <row r="4" spans="1:19" ht="16.5" thickTop="1" thickBot="1" x14ac:dyDescent="0.3">
      <c r="A4" s="443"/>
      <c r="B4" s="445"/>
      <c r="C4" s="445"/>
      <c r="D4" s="446"/>
      <c r="E4" s="446"/>
      <c r="F4" s="442"/>
      <c r="G4" s="442"/>
      <c r="H4" s="442"/>
      <c r="I4" s="442"/>
      <c r="J4" s="442"/>
      <c r="K4" s="442"/>
      <c r="L4" s="442"/>
      <c r="M4" s="442"/>
      <c r="N4" s="442"/>
      <c r="O4" s="442"/>
      <c r="P4" s="442"/>
      <c r="Q4" s="442"/>
    </row>
    <row r="5" spans="1:19" ht="34.5" customHeight="1" thickTop="1" thickBot="1" x14ac:dyDescent="0.3">
      <c r="A5" s="99" t="s">
        <v>221</v>
      </c>
      <c r="B5" s="100">
        <f>B7+B8+B9+B6</f>
        <v>176012299</v>
      </c>
      <c r="C5" s="100">
        <f>C7+C8+C9+C6</f>
        <v>205152344.48999998</v>
      </c>
      <c r="D5" s="100">
        <f>D7+D8+D9+D6</f>
        <v>157307431.44614646</v>
      </c>
      <c r="E5" s="100">
        <f>E7+E8+E9+E6</f>
        <v>156113291.06514648</v>
      </c>
      <c r="F5" s="101"/>
      <c r="G5" s="101"/>
      <c r="H5" s="101"/>
      <c r="I5" s="101"/>
      <c r="J5" s="101"/>
      <c r="K5" s="101"/>
      <c r="L5" s="101"/>
      <c r="M5" s="101"/>
      <c r="N5" s="101"/>
      <c r="O5" s="101"/>
      <c r="P5" s="101"/>
      <c r="Q5" s="101"/>
    </row>
    <row r="6" spans="1:19" ht="34.5" customHeight="1" thickBot="1" x14ac:dyDescent="0.3">
      <c r="A6" s="102" t="s">
        <v>222</v>
      </c>
      <c r="B6" s="103">
        <v>29609254</v>
      </c>
      <c r="C6" s="103">
        <v>41547244.979999997</v>
      </c>
      <c r="D6" s="103">
        <v>42067632.617999531</v>
      </c>
      <c r="E6" s="103">
        <f>D6</f>
        <v>42067632.617999531</v>
      </c>
      <c r="F6" s="104">
        <v>3459165.7903547492</v>
      </c>
      <c r="G6" s="104">
        <v>3500753.2083547488</v>
      </c>
      <c r="H6" s="104">
        <v>3460386.2440547487</v>
      </c>
      <c r="I6" s="104">
        <v>3457876.7980547491</v>
      </c>
      <c r="J6" s="104">
        <v>3457876.7980547491</v>
      </c>
      <c r="K6" s="104">
        <v>3528534.0654547485</v>
      </c>
      <c r="L6" s="104">
        <v>3462348.2174873753</v>
      </c>
      <c r="M6" s="104">
        <v>3459490.6244873758</v>
      </c>
      <c r="N6" s="104">
        <v>3544007.561748072</v>
      </c>
      <c r="O6" s="104">
        <v>3545731.1033160724</v>
      </c>
      <c r="P6" s="104">
        <v>3545731.1033160724</v>
      </c>
      <c r="Q6" s="104">
        <v>3645731.1033160724</v>
      </c>
    </row>
    <row r="7" spans="1:19" ht="34.5" customHeight="1" thickBot="1" x14ac:dyDescent="0.3">
      <c r="A7" s="102" t="s">
        <v>223</v>
      </c>
      <c r="B7" s="103">
        <f>B10+B11+B12+B13+B28+B14+B15+B16+B17+B18+B19+B20+B21</f>
        <v>17830721</v>
      </c>
      <c r="C7" s="103">
        <f>C10+C11+C12+C13+C28+C14+C15+C16+C17+C18+C19+C20+C21</f>
        <v>28644301.620000001</v>
      </c>
      <c r="D7" s="103">
        <f>D10+D11+D12+D13+D28+D14+D15+D16+D17+D18+D19+D20+D21</f>
        <v>34260463.729266673</v>
      </c>
      <c r="E7" s="103">
        <f>E10+E11+E12+E13+E28+E14+E15+E16+E17+E18+E19+E20+E21</f>
        <v>33066323.348266669</v>
      </c>
      <c r="F7" s="104">
        <f>F10+F11+F12+F13+F28+F14+F15+F16+F17+F18+F19+F20+F21</f>
        <v>2589640.2259666668</v>
      </c>
      <c r="G7" s="104">
        <f t="shared" ref="G7:Q7" si="0">G10+G11+G12+G13+G28+G14+G15+G16+G17+G18+G19+G20+G21</f>
        <v>4951037.0096333334</v>
      </c>
      <c r="H7" s="104">
        <f t="shared" si="0"/>
        <v>4498378.0096333334</v>
      </c>
      <c r="I7" s="104">
        <f t="shared" si="0"/>
        <v>5793550.2562999995</v>
      </c>
      <c r="J7" s="104">
        <f t="shared" si="0"/>
        <v>2070767.7030916666</v>
      </c>
      <c r="K7" s="104">
        <f t="shared" si="0"/>
        <v>2317048.5165916667</v>
      </c>
      <c r="L7" s="104">
        <f t="shared" si="0"/>
        <v>2245020.817425</v>
      </c>
      <c r="M7" s="104">
        <f t="shared" si="0"/>
        <v>1609856.967925</v>
      </c>
      <c r="N7" s="104">
        <f t="shared" si="0"/>
        <v>2072120.3012583333</v>
      </c>
      <c r="O7" s="104">
        <f t="shared" si="0"/>
        <v>2094664.3012583333</v>
      </c>
      <c r="P7" s="104">
        <f t="shared" si="0"/>
        <v>2374691.1017583334</v>
      </c>
      <c r="Q7" s="104">
        <f t="shared" si="0"/>
        <v>1643688.5184250001</v>
      </c>
    </row>
    <row r="8" spans="1:19" ht="34.5" customHeight="1" thickBot="1" x14ac:dyDescent="0.3">
      <c r="A8" s="102" t="s">
        <v>224</v>
      </c>
      <c r="B8" s="103">
        <f>B26+B27</f>
        <v>111021756</v>
      </c>
      <c r="C8" s="103">
        <f t="shared" ref="C8:Q8" si="1">C26+C27</f>
        <v>115370187.2</v>
      </c>
      <c r="D8" s="103">
        <f t="shared" si="1"/>
        <v>62102798.002800003</v>
      </c>
      <c r="E8" s="103">
        <f t="shared" si="1"/>
        <v>62102798.002800003</v>
      </c>
      <c r="F8" s="104">
        <f t="shared" si="1"/>
        <v>6074897.0027999999</v>
      </c>
      <c r="G8" s="104">
        <f t="shared" si="1"/>
        <v>5994398</v>
      </c>
      <c r="H8" s="104">
        <f t="shared" si="1"/>
        <v>6048399</v>
      </c>
      <c r="I8" s="104">
        <f t="shared" si="1"/>
        <v>5968400</v>
      </c>
      <c r="J8" s="104">
        <f t="shared" si="1"/>
        <v>6048401</v>
      </c>
      <c r="K8" s="104">
        <f t="shared" si="1"/>
        <v>5968402</v>
      </c>
      <c r="L8" s="104">
        <f t="shared" si="1"/>
        <v>4373736</v>
      </c>
      <c r="M8" s="104">
        <f t="shared" si="1"/>
        <v>4293237</v>
      </c>
      <c r="N8" s="104">
        <f t="shared" si="1"/>
        <v>4373238</v>
      </c>
      <c r="O8" s="104">
        <f t="shared" si="1"/>
        <v>4293239</v>
      </c>
      <c r="P8" s="104">
        <f t="shared" si="1"/>
        <v>4373240</v>
      </c>
      <c r="Q8" s="104">
        <f t="shared" si="1"/>
        <v>4293241</v>
      </c>
    </row>
    <row r="9" spans="1:19" ht="34.5" customHeight="1" thickBot="1" x14ac:dyDescent="0.3">
      <c r="A9" s="102" t="s">
        <v>225</v>
      </c>
      <c r="B9" s="103">
        <f>B22+B23+B24</f>
        <v>17550568</v>
      </c>
      <c r="C9" s="103">
        <f>C22+C23+C24</f>
        <v>19590610.690000001</v>
      </c>
      <c r="D9" s="103">
        <f>D22+D23+D24</f>
        <v>18876537.096080262</v>
      </c>
      <c r="E9" s="103">
        <f>E22+E23+E24</f>
        <v>18876537.096080262</v>
      </c>
      <c r="F9" s="104">
        <f t="shared" ref="F9:Q9" si="2">F22+F23</f>
        <v>1508696.4009545455</v>
      </c>
      <c r="G9" s="104">
        <f t="shared" si="2"/>
        <v>1541810.1450256919</v>
      </c>
      <c r="H9" s="104">
        <f t="shared" si="2"/>
        <v>1491238.720353801</v>
      </c>
      <c r="I9" s="104">
        <f t="shared" si="2"/>
        <v>1574243.7664090912</v>
      </c>
      <c r="J9" s="104">
        <f t="shared" si="2"/>
        <v>1373288.0013479532</v>
      </c>
      <c r="K9" s="104">
        <f t="shared" si="2"/>
        <v>1311118.9978333332</v>
      </c>
      <c r="L9" s="104">
        <f t="shared" si="2"/>
        <v>1622353.5632272728</v>
      </c>
      <c r="M9" s="104">
        <f t="shared" si="2"/>
        <v>1453453.8588333332</v>
      </c>
      <c r="N9" s="104">
        <f t="shared" si="2"/>
        <v>1707881.3035952379</v>
      </c>
      <c r="O9" s="104">
        <f t="shared" si="2"/>
        <v>1558243.0988333332</v>
      </c>
      <c r="P9" s="104">
        <f t="shared" si="2"/>
        <v>1558804.1121666664</v>
      </c>
      <c r="Q9" s="104">
        <f t="shared" si="2"/>
        <v>1605963.4654999999</v>
      </c>
    </row>
    <row r="10" spans="1:19" ht="30.75" customHeight="1" thickBot="1" x14ac:dyDescent="0.3">
      <c r="A10" s="105" t="s">
        <v>226</v>
      </c>
      <c r="B10" s="106">
        <f>486993+1799414+3225</f>
        <v>2289632</v>
      </c>
      <c r="C10" s="106">
        <v>2241000</v>
      </c>
      <c r="D10" s="107">
        <v>3542638.7860000003</v>
      </c>
      <c r="E10" s="107">
        <v>3298096.3460000004</v>
      </c>
      <c r="F10" s="108">
        <v>276419.44133333338</v>
      </c>
      <c r="G10" s="108">
        <v>270230.97133333329</v>
      </c>
      <c r="H10" s="108">
        <v>269030.97133333329</v>
      </c>
      <c r="I10" s="108">
        <v>269190.97133333329</v>
      </c>
      <c r="J10" s="108">
        <v>268838.56133333332</v>
      </c>
      <c r="K10" s="108">
        <v>268838.56133333332</v>
      </c>
      <c r="L10" s="108">
        <v>268998.56133333332</v>
      </c>
      <c r="M10" s="108">
        <v>268838.56133333332</v>
      </c>
      <c r="N10" s="108">
        <v>385505.228</v>
      </c>
      <c r="O10" s="108">
        <v>387665.228</v>
      </c>
      <c r="P10" s="108">
        <v>368768.94800000003</v>
      </c>
      <c r="Q10" s="108">
        <v>240312.78133333335</v>
      </c>
      <c r="R10" s="2">
        <f>SUM(F10:Q10)</f>
        <v>3542638.7860000003</v>
      </c>
      <c r="S10" s="94">
        <f>R10-D10</f>
        <v>0</v>
      </c>
    </row>
    <row r="11" spans="1:19" ht="32.25" customHeight="1" thickTop="1" thickBot="1" x14ac:dyDescent="0.3">
      <c r="A11" s="109" t="s">
        <v>227</v>
      </c>
      <c r="B11" s="110">
        <f>19702+344198+42</f>
        <v>363942</v>
      </c>
      <c r="C11" s="110">
        <v>734913.76</v>
      </c>
      <c r="D11" s="111">
        <v>1142799.0897999997</v>
      </c>
      <c r="E11" s="107">
        <v>808704.88479999977</v>
      </c>
      <c r="F11" s="112">
        <v>165200.99748333334</v>
      </c>
      <c r="G11" s="112">
        <v>158840.99748333334</v>
      </c>
      <c r="H11" s="112">
        <v>158200.99748333334</v>
      </c>
      <c r="I11" s="112">
        <v>74307.664149999997</v>
      </c>
      <c r="J11" s="112">
        <v>74495.254149999993</v>
      </c>
      <c r="K11" s="112">
        <v>73935.254149999993</v>
      </c>
      <c r="L11" s="112">
        <v>74495.254149999993</v>
      </c>
      <c r="M11" s="112">
        <v>75935.254149999993</v>
      </c>
      <c r="N11" s="112">
        <v>74495.254149999993</v>
      </c>
      <c r="O11" s="112">
        <v>75935.254149999993</v>
      </c>
      <c r="P11" s="112">
        <v>74127.914149999997</v>
      </c>
      <c r="Q11" s="112">
        <v>62828.994149999999</v>
      </c>
      <c r="R11" s="2">
        <f t="shared" ref="R11:R28" si="3">SUM(F11:Q11)</f>
        <v>1142799.0897999997</v>
      </c>
      <c r="S11" s="94">
        <f t="shared" ref="S11:S28" si="4">R11-D11</f>
        <v>0</v>
      </c>
    </row>
    <row r="12" spans="1:19" ht="39.75" customHeight="1" thickTop="1" thickBot="1" x14ac:dyDescent="0.3">
      <c r="A12" s="109" t="s">
        <v>228</v>
      </c>
      <c r="B12" s="110">
        <f>15167+360720+76</f>
        <v>375963</v>
      </c>
      <c r="C12" s="110">
        <v>530684.13</v>
      </c>
      <c r="D12" s="111">
        <v>1321059.9474333334</v>
      </c>
      <c r="E12" s="107">
        <v>1271475.5584333334</v>
      </c>
      <c r="F12" s="112">
        <v>60297.916799999999</v>
      </c>
      <c r="G12" s="112">
        <v>51926.676800000001</v>
      </c>
      <c r="H12" s="112">
        <v>52776.676800000001</v>
      </c>
      <c r="I12" s="112">
        <v>51626.676800000001</v>
      </c>
      <c r="J12" s="112">
        <v>52699.853466666667</v>
      </c>
      <c r="K12" s="112">
        <v>54533.610966666667</v>
      </c>
      <c r="L12" s="112">
        <v>52311.41096666667</v>
      </c>
      <c r="M12" s="112">
        <v>51161.41096666667</v>
      </c>
      <c r="N12" s="112">
        <v>227711.41096666665</v>
      </c>
      <c r="O12" s="112">
        <v>226161.41096666665</v>
      </c>
      <c r="P12" s="112">
        <v>227311.41096666665</v>
      </c>
      <c r="Q12" s="112">
        <v>212541.48096666666</v>
      </c>
      <c r="R12" s="2">
        <f t="shared" si="3"/>
        <v>1321059.9474333334</v>
      </c>
      <c r="S12" s="94">
        <f t="shared" si="4"/>
        <v>0</v>
      </c>
    </row>
    <row r="13" spans="1:19" ht="36" customHeight="1" thickTop="1" thickBot="1" x14ac:dyDescent="0.3">
      <c r="A13" s="109" t="s">
        <v>229</v>
      </c>
      <c r="B13" s="110">
        <f>13568+470738</f>
        <v>484306</v>
      </c>
      <c r="C13" s="110">
        <v>565152.42000000004</v>
      </c>
      <c r="D13" s="113">
        <v>956918.60460000008</v>
      </c>
      <c r="E13" s="107">
        <v>888984.39010000008</v>
      </c>
      <c r="F13" s="114">
        <v>68353.400383333341</v>
      </c>
      <c r="G13" s="114">
        <v>61455.500383333332</v>
      </c>
      <c r="H13" s="114">
        <v>61155.500383333332</v>
      </c>
      <c r="I13" s="114">
        <v>61155.500383333332</v>
      </c>
      <c r="J13" s="114">
        <v>61039.360383333333</v>
      </c>
      <c r="K13" s="114">
        <v>61039.360383333333</v>
      </c>
      <c r="L13" s="114">
        <v>61039.360383333333</v>
      </c>
      <c r="M13" s="114">
        <v>61039.360383333333</v>
      </c>
      <c r="N13" s="114">
        <v>137706.02705</v>
      </c>
      <c r="O13" s="114">
        <v>137706.02705</v>
      </c>
      <c r="P13" s="114">
        <v>137706.02705</v>
      </c>
      <c r="Q13" s="114">
        <v>47523.180383333325</v>
      </c>
      <c r="R13" s="2">
        <f t="shared" si="3"/>
        <v>956918.60460000008</v>
      </c>
      <c r="S13" s="94">
        <f t="shared" si="4"/>
        <v>0</v>
      </c>
    </row>
    <row r="14" spans="1:19" ht="36.75" customHeight="1" thickTop="1" thickBot="1" x14ac:dyDescent="0.3">
      <c r="A14" s="109" t="s">
        <v>230</v>
      </c>
      <c r="B14" s="110">
        <f>24690+461197+76</f>
        <v>485963</v>
      </c>
      <c r="C14" s="110">
        <v>1025946.98</v>
      </c>
      <c r="D14" s="115">
        <v>1508255.9672000003</v>
      </c>
      <c r="E14" s="107">
        <v>1467304.7087000003</v>
      </c>
      <c r="F14" s="116">
        <v>238786.3731</v>
      </c>
      <c r="G14" s="116">
        <v>239217.96309999996</v>
      </c>
      <c r="H14" s="116">
        <v>239217.96309999996</v>
      </c>
      <c r="I14" s="116">
        <v>239217.96309999996</v>
      </c>
      <c r="J14" s="116">
        <v>68976.963100000008</v>
      </c>
      <c r="K14" s="116">
        <v>68976.963100000008</v>
      </c>
      <c r="L14" s="116">
        <v>68976.963100000008</v>
      </c>
      <c r="M14" s="116">
        <v>68976.963100000008</v>
      </c>
      <c r="N14" s="116">
        <v>68976.963100000008</v>
      </c>
      <c r="O14" s="116">
        <v>68976.963100000008</v>
      </c>
      <c r="P14" s="116">
        <v>68976.963100000008</v>
      </c>
      <c r="Q14" s="116">
        <v>68976.963100000008</v>
      </c>
      <c r="R14" s="2">
        <f t="shared" si="3"/>
        <v>1508255.9672000003</v>
      </c>
      <c r="S14" s="94">
        <f t="shared" si="4"/>
        <v>0</v>
      </c>
    </row>
    <row r="15" spans="1:19" ht="28.5" customHeight="1" thickTop="1" thickBot="1" x14ac:dyDescent="0.3">
      <c r="A15" s="109" t="s">
        <v>231</v>
      </c>
      <c r="B15" s="110">
        <f>38217+136202+1203</f>
        <v>175622</v>
      </c>
      <c r="C15" s="110">
        <v>578809.03</v>
      </c>
      <c r="D15" s="115">
        <v>584108.26620000007</v>
      </c>
      <c r="E15" s="107">
        <v>566008.31270000013</v>
      </c>
      <c r="F15" s="116">
        <v>49811.929599999996</v>
      </c>
      <c r="G15" s="116">
        <v>41750.819600000003</v>
      </c>
      <c r="H15" s="116">
        <v>41750.819600000003</v>
      </c>
      <c r="I15" s="116">
        <v>44250.819600000003</v>
      </c>
      <c r="J15" s="116">
        <v>41651.679600000003</v>
      </c>
      <c r="K15" s="116">
        <v>41651.679600000003</v>
      </c>
      <c r="L15" s="116">
        <v>43851.679600000003</v>
      </c>
      <c r="M15" s="116">
        <v>42631.679600000003</v>
      </c>
      <c r="N15" s="116">
        <v>41651.679600000003</v>
      </c>
      <c r="O15" s="116">
        <v>41651.679600000003</v>
      </c>
      <c r="P15" s="116">
        <v>111726.9001</v>
      </c>
      <c r="Q15" s="116">
        <v>41726.900099999999</v>
      </c>
      <c r="R15" s="2">
        <f t="shared" si="3"/>
        <v>584108.26620000007</v>
      </c>
      <c r="S15" s="94">
        <f t="shared" si="4"/>
        <v>0</v>
      </c>
    </row>
    <row r="16" spans="1:19" ht="37.5" customHeight="1" thickTop="1" thickBot="1" x14ac:dyDescent="0.3">
      <c r="A16" s="109" t="s">
        <v>232</v>
      </c>
      <c r="B16" s="110">
        <f>230005+1226201+1868</f>
        <v>1458074</v>
      </c>
      <c r="C16" s="110">
        <v>1395618.6</v>
      </c>
      <c r="D16" s="115">
        <v>1582087.0377999998</v>
      </c>
      <c r="E16" s="107">
        <v>1358815.1702999999</v>
      </c>
      <c r="F16" s="116">
        <v>145228.58106666667</v>
      </c>
      <c r="G16" s="116">
        <v>139578.58106666667</v>
      </c>
      <c r="H16" s="116">
        <v>137508.58106666667</v>
      </c>
      <c r="I16" s="116">
        <v>136578.58106666667</v>
      </c>
      <c r="J16" s="116">
        <v>133906.03106666665</v>
      </c>
      <c r="K16" s="116">
        <v>138769.83106666667</v>
      </c>
      <c r="L16" s="116">
        <v>133639.83106666667</v>
      </c>
      <c r="M16" s="116">
        <v>133578.38606666666</v>
      </c>
      <c r="N16" s="116">
        <v>134508.38606666666</v>
      </c>
      <c r="O16" s="116">
        <v>134202.38606666666</v>
      </c>
      <c r="P16" s="116">
        <v>133424.78606666665</v>
      </c>
      <c r="Q16" s="116">
        <v>81163.076066666661</v>
      </c>
      <c r="R16" s="2">
        <f t="shared" si="3"/>
        <v>1582087.0377999998</v>
      </c>
      <c r="S16" s="94">
        <f t="shared" si="4"/>
        <v>0</v>
      </c>
    </row>
    <row r="17" spans="1:152" ht="28.5" customHeight="1" thickTop="1" thickBot="1" x14ac:dyDescent="0.3">
      <c r="A17" s="109" t="s">
        <v>233</v>
      </c>
      <c r="B17" s="110">
        <f>1437+120295+25</f>
        <v>121757</v>
      </c>
      <c r="C17" s="110">
        <v>191325.97</v>
      </c>
      <c r="D17" s="115">
        <v>214231.26040000003</v>
      </c>
      <c r="E17" s="107">
        <v>173569.42240000004</v>
      </c>
      <c r="F17" s="116">
        <v>20046.0867</v>
      </c>
      <c r="G17" s="116">
        <v>13094.1067</v>
      </c>
      <c r="H17" s="116">
        <v>13094.1067</v>
      </c>
      <c r="I17" s="116">
        <v>13244.1067</v>
      </c>
      <c r="J17" s="116">
        <v>13094.1067</v>
      </c>
      <c r="K17" s="116">
        <v>13094.1067</v>
      </c>
      <c r="L17" s="116">
        <v>13094.1067</v>
      </c>
      <c r="M17" s="116">
        <v>13094.1067</v>
      </c>
      <c r="N17" s="116">
        <v>13094.1067</v>
      </c>
      <c r="O17" s="116">
        <v>13094.1067</v>
      </c>
      <c r="P17" s="116">
        <v>38094.106699999997</v>
      </c>
      <c r="Q17" s="116">
        <v>38094.106699999997</v>
      </c>
      <c r="R17" s="2">
        <f t="shared" si="3"/>
        <v>214231.26040000003</v>
      </c>
      <c r="S17" s="94">
        <f t="shared" si="4"/>
        <v>0</v>
      </c>
    </row>
    <row r="18" spans="1:152" ht="33.75" customHeight="1" thickTop="1" thickBot="1" x14ac:dyDescent="0.3">
      <c r="A18" s="109" t="s">
        <v>234</v>
      </c>
      <c r="B18" s="110">
        <f>2188971+53256+198</f>
        <v>2242425</v>
      </c>
      <c r="C18" s="110">
        <v>7187776.71</v>
      </c>
      <c r="D18" s="115">
        <v>7259363.4827333353</v>
      </c>
      <c r="E18" s="107">
        <v>7259363.4827333353</v>
      </c>
      <c r="F18" s="116">
        <v>510878.54578333336</v>
      </c>
      <c r="G18" s="116">
        <v>480350.83745000005</v>
      </c>
      <c r="H18" s="116">
        <v>472060.83745000005</v>
      </c>
      <c r="I18" s="116">
        <v>495560.83745000005</v>
      </c>
      <c r="J18" s="116">
        <v>472715.85307500005</v>
      </c>
      <c r="K18" s="116">
        <v>1111575.853075</v>
      </c>
      <c r="L18" s="116">
        <v>1134975.853075</v>
      </c>
      <c r="M18" s="116">
        <v>511575.85307500005</v>
      </c>
      <c r="N18" s="116">
        <v>511575.85307500005</v>
      </c>
      <c r="O18" s="116">
        <v>534975.85307499999</v>
      </c>
      <c r="P18" s="116">
        <v>511558.65307500004</v>
      </c>
      <c r="Q18" s="116">
        <v>511558.65307500004</v>
      </c>
      <c r="R18" s="2">
        <f t="shared" si="3"/>
        <v>7259363.4827333353</v>
      </c>
      <c r="S18" s="94">
        <f t="shared" si="4"/>
        <v>0</v>
      </c>
    </row>
    <row r="19" spans="1:152" ht="26.25" customHeight="1" thickTop="1" thickBot="1" x14ac:dyDescent="0.3">
      <c r="A19" s="109" t="s">
        <v>235</v>
      </c>
      <c r="B19" s="110">
        <f>6798987+208559</f>
        <v>7007546</v>
      </c>
      <c r="C19" s="110">
        <f>8800000+900000</f>
        <v>9700000</v>
      </c>
      <c r="D19" s="111">
        <v>10205000</v>
      </c>
      <c r="E19" s="107">
        <v>10205000</v>
      </c>
      <c r="F19" s="112">
        <v>0</v>
      </c>
      <c r="G19" s="112">
        <v>3000000</v>
      </c>
      <c r="H19" s="112">
        <v>2600000</v>
      </c>
      <c r="I19" s="112">
        <v>4015000</v>
      </c>
      <c r="J19" s="112">
        <v>488000</v>
      </c>
      <c r="K19" s="112">
        <v>102000</v>
      </c>
      <c r="L19" s="112">
        <v>0</v>
      </c>
      <c r="M19" s="112">
        <v>0</v>
      </c>
      <c r="N19" s="112">
        <v>0</v>
      </c>
      <c r="O19" s="112">
        <v>0</v>
      </c>
      <c r="P19" s="112">
        <v>0</v>
      </c>
      <c r="Q19" s="112">
        <v>0</v>
      </c>
      <c r="R19" s="2">
        <f t="shared" si="3"/>
        <v>10205000</v>
      </c>
      <c r="S19" s="94">
        <f t="shared" si="4"/>
        <v>0</v>
      </c>
    </row>
    <row r="20" spans="1:152" ht="33" customHeight="1" thickTop="1" thickBot="1" x14ac:dyDescent="0.3">
      <c r="A20" s="109" t="s">
        <v>236</v>
      </c>
      <c r="B20" s="110">
        <f>978+30897+148+14378</f>
        <v>46401</v>
      </c>
      <c r="C20" s="110">
        <v>70000</v>
      </c>
      <c r="D20" s="111">
        <v>87500</v>
      </c>
      <c r="E20" s="107">
        <v>87500</v>
      </c>
      <c r="F20" s="112">
        <v>87500</v>
      </c>
      <c r="G20" s="112">
        <v>0</v>
      </c>
      <c r="H20" s="112">
        <v>0</v>
      </c>
      <c r="I20" s="112">
        <v>0</v>
      </c>
      <c r="J20" s="112">
        <v>0</v>
      </c>
      <c r="K20" s="112">
        <v>0</v>
      </c>
      <c r="L20" s="112">
        <v>0</v>
      </c>
      <c r="M20" s="112">
        <v>0</v>
      </c>
      <c r="N20" s="112">
        <v>0</v>
      </c>
      <c r="O20" s="112">
        <v>0</v>
      </c>
      <c r="P20" s="112">
        <v>0</v>
      </c>
      <c r="Q20" s="112">
        <v>0</v>
      </c>
      <c r="R20" s="2">
        <f t="shared" si="3"/>
        <v>87500</v>
      </c>
      <c r="S20" s="94">
        <f t="shared" si="4"/>
        <v>0</v>
      </c>
    </row>
    <row r="21" spans="1:152" ht="28.5" customHeight="1" thickTop="1" thickBot="1" x14ac:dyDescent="0.3">
      <c r="A21" s="109" t="s">
        <v>237</v>
      </c>
      <c r="B21" s="110">
        <f>20359+79488+93+47986</f>
        <v>147926</v>
      </c>
      <c r="C21" s="110">
        <v>230000</v>
      </c>
      <c r="D21" s="113">
        <v>230000</v>
      </c>
      <c r="E21" s="107">
        <v>230000</v>
      </c>
      <c r="F21" s="114">
        <v>0</v>
      </c>
      <c r="G21" s="114">
        <v>0</v>
      </c>
      <c r="H21" s="114">
        <v>0</v>
      </c>
      <c r="I21" s="114">
        <v>0</v>
      </c>
      <c r="J21" s="114">
        <v>0</v>
      </c>
      <c r="K21" s="114">
        <v>0</v>
      </c>
      <c r="L21" s="114">
        <v>0</v>
      </c>
      <c r="M21" s="114">
        <v>0</v>
      </c>
      <c r="N21" s="114">
        <v>0</v>
      </c>
      <c r="O21" s="114">
        <v>0</v>
      </c>
      <c r="P21" s="114">
        <v>230000</v>
      </c>
      <c r="Q21" s="114">
        <v>0</v>
      </c>
      <c r="R21" s="2">
        <f t="shared" si="3"/>
        <v>230000</v>
      </c>
      <c r="S21" s="94">
        <f t="shared" si="4"/>
        <v>0</v>
      </c>
    </row>
    <row r="22" spans="1:152" s="117" customFormat="1" ht="29.25" customHeight="1" thickTop="1" thickBot="1" x14ac:dyDescent="0.3">
      <c r="A22" s="109" t="s">
        <v>238</v>
      </c>
      <c r="B22" s="110">
        <f>28560+20668+262</f>
        <v>49490</v>
      </c>
      <c r="C22" s="110">
        <v>120000</v>
      </c>
      <c r="D22" s="111">
        <v>122635.58600000002</v>
      </c>
      <c r="E22" s="107">
        <v>122635.58600000002</v>
      </c>
      <c r="F22" s="112">
        <v>10905.9655</v>
      </c>
      <c r="G22" s="112">
        <v>10185.9655</v>
      </c>
      <c r="H22" s="112">
        <v>8385.9655000000002</v>
      </c>
      <c r="I22" s="112">
        <v>9105.9655000000002</v>
      </c>
      <c r="J22" s="112">
        <v>15247.9655</v>
      </c>
      <c r="K22" s="112">
        <v>8385.9655000000002</v>
      </c>
      <c r="L22" s="112">
        <v>10545.9655</v>
      </c>
      <c r="M22" s="112">
        <v>10905.9655</v>
      </c>
      <c r="N22" s="112">
        <v>8385.9655000000002</v>
      </c>
      <c r="O22" s="112">
        <v>8745.9655000000002</v>
      </c>
      <c r="P22" s="112">
        <v>14167.9655</v>
      </c>
      <c r="Q22" s="112">
        <v>7665.9655000000002</v>
      </c>
      <c r="R22" s="2">
        <f t="shared" si="3"/>
        <v>122635.58600000002</v>
      </c>
      <c r="S22" s="94">
        <f t="shared" si="4"/>
        <v>0</v>
      </c>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row>
    <row r="23" spans="1:152" ht="29.25" customHeight="1" thickTop="1" thickBot="1" x14ac:dyDescent="0.3">
      <c r="A23" s="109" t="s">
        <v>239</v>
      </c>
      <c r="B23" s="110">
        <f>2873528+2694981+2347566+1181090+1088481+833736+771876+1037922+759937+645224+1320446+526564+980623+439104</f>
        <v>17501078</v>
      </c>
      <c r="C23" s="110">
        <f>19590610.69-(120000+712144.68)</f>
        <v>18758466.010000002</v>
      </c>
      <c r="D23" s="111">
        <v>18184459.848080263</v>
      </c>
      <c r="E23" s="107">
        <v>18184459.848080263</v>
      </c>
      <c r="F23" s="112">
        <v>1497790.4354545455</v>
      </c>
      <c r="G23" s="112">
        <v>1531624.179525692</v>
      </c>
      <c r="H23" s="112">
        <v>1482852.7548538011</v>
      </c>
      <c r="I23" s="112">
        <v>1565137.8009090913</v>
      </c>
      <c r="J23" s="112">
        <v>1358040.0358479533</v>
      </c>
      <c r="K23" s="112">
        <v>1302733.0323333333</v>
      </c>
      <c r="L23" s="112">
        <v>1611807.5977272729</v>
      </c>
      <c r="M23" s="112">
        <v>1442547.8933333333</v>
      </c>
      <c r="N23" s="112">
        <v>1699495.338095238</v>
      </c>
      <c r="O23" s="112">
        <v>1549497.1333333333</v>
      </c>
      <c r="P23" s="112">
        <v>1544636.1466666665</v>
      </c>
      <c r="Q23" s="112">
        <v>1598297.5</v>
      </c>
      <c r="R23" s="2">
        <f t="shared" si="3"/>
        <v>18184459.848080263</v>
      </c>
      <c r="S23" s="94">
        <f t="shared" si="4"/>
        <v>0</v>
      </c>
    </row>
    <row r="24" spans="1:152" ht="29.25" customHeight="1" thickTop="1" thickBot="1" x14ac:dyDescent="0.3">
      <c r="A24" s="109" t="s">
        <v>240</v>
      </c>
      <c r="B24" s="110"/>
      <c r="C24" s="110">
        <v>712144.68</v>
      </c>
      <c r="D24" s="111">
        <v>569441.66200000001</v>
      </c>
      <c r="E24" s="107">
        <v>569441.66200000001</v>
      </c>
      <c r="F24" s="112">
        <v>57340.19</v>
      </c>
      <c r="G24" s="112">
        <v>45286.072</v>
      </c>
      <c r="H24" s="112">
        <v>45286.072</v>
      </c>
      <c r="I24" s="112">
        <v>46836.592000000004</v>
      </c>
      <c r="J24" s="112">
        <v>46836.592000000004</v>
      </c>
      <c r="K24" s="112">
        <v>46836.592000000004</v>
      </c>
      <c r="L24" s="112">
        <v>46836.592000000004</v>
      </c>
      <c r="M24" s="112">
        <v>46836.592000000004</v>
      </c>
      <c r="N24" s="112">
        <v>46836.592000000004</v>
      </c>
      <c r="O24" s="112">
        <v>46836.592000000004</v>
      </c>
      <c r="P24" s="112">
        <v>46836.592000000004</v>
      </c>
      <c r="Q24" s="112">
        <v>46836.592000000004</v>
      </c>
      <c r="R24" s="2">
        <f t="shared" si="3"/>
        <v>569441.66200000001</v>
      </c>
      <c r="S24" s="94">
        <f t="shared" si="4"/>
        <v>0</v>
      </c>
    </row>
    <row r="25" spans="1:152" ht="33.75" customHeight="1" thickTop="1" thickBot="1" x14ac:dyDescent="0.3">
      <c r="A25" s="109" t="s">
        <v>241</v>
      </c>
      <c r="B25" s="110">
        <v>0</v>
      </c>
      <c r="C25" s="110">
        <v>0</v>
      </c>
      <c r="D25" s="111">
        <v>324000</v>
      </c>
      <c r="E25" s="107">
        <v>324000</v>
      </c>
      <c r="F25" s="112">
        <v>51000</v>
      </c>
      <c r="G25" s="112">
        <v>51000</v>
      </c>
      <c r="H25" s="112">
        <v>51000</v>
      </c>
      <c r="I25" s="112">
        <v>51000</v>
      </c>
      <c r="J25" s="112">
        <v>51000</v>
      </c>
      <c r="K25" s="112">
        <v>51000</v>
      </c>
      <c r="L25" s="112">
        <v>3000</v>
      </c>
      <c r="M25" s="112">
        <v>3000</v>
      </c>
      <c r="N25" s="112">
        <v>3000</v>
      </c>
      <c r="O25" s="112">
        <v>3000</v>
      </c>
      <c r="P25" s="112">
        <v>3000</v>
      </c>
      <c r="Q25" s="112">
        <v>3000</v>
      </c>
      <c r="R25" s="2">
        <f t="shared" si="3"/>
        <v>324000</v>
      </c>
      <c r="S25" s="94">
        <f t="shared" si="4"/>
        <v>0</v>
      </c>
    </row>
    <row r="26" spans="1:152" s="117" customFormat="1" ht="24" customHeight="1" thickTop="1" thickBot="1" x14ac:dyDescent="0.3">
      <c r="A26" s="109" t="s">
        <v>242</v>
      </c>
      <c r="B26" s="110">
        <v>1364615</v>
      </c>
      <c r="C26" s="110">
        <f>785173.6+785173.6</f>
        <v>1570347.2</v>
      </c>
      <c r="D26" s="111">
        <f>1038100.0028+70</f>
        <v>1038170.0028</v>
      </c>
      <c r="E26" s="107">
        <v>1038170.0028</v>
      </c>
      <c r="F26" s="112">
        <v>148600.00279999999</v>
      </c>
      <c r="G26" s="112">
        <v>68100</v>
      </c>
      <c r="H26" s="112">
        <v>122100</v>
      </c>
      <c r="I26" s="112">
        <v>42100</v>
      </c>
      <c r="J26" s="112">
        <v>122100</v>
      </c>
      <c r="K26" s="112">
        <v>42100</v>
      </c>
      <c r="L26" s="112">
        <v>122600</v>
      </c>
      <c r="M26" s="112">
        <v>42100</v>
      </c>
      <c r="N26" s="112">
        <v>122100</v>
      </c>
      <c r="O26" s="112">
        <v>42100</v>
      </c>
      <c r="P26" s="112">
        <v>122100</v>
      </c>
      <c r="Q26" s="112">
        <v>42100</v>
      </c>
      <c r="R26" s="2">
        <f t="shared" si="3"/>
        <v>1038200.0028</v>
      </c>
      <c r="S26" s="94">
        <f t="shared" si="4"/>
        <v>30</v>
      </c>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row>
    <row r="27" spans="1:152" ht="24" customHeight="1" thickTop="1" thickBot="1" x14ac:dyDescent="0.3">
      <c r="A27" s="109" t="s">
        <v>243</v>
      </c>
      <c r="B27" s="110">
        <v>109657141</v>
      </c>
      <c r="C27" s="110">
        <f>8373120+51309000+7953120+46164600</f>
        <v>113799840</v>
      </c>
      <c r="D27" s="111">
        <v>61064628</v>
      </c>
      <c r="E27" s="107">
        <v>61064628</v>
      </c>
      <c r="F27" s="112">
        <v>5926297</v>
      </c>
      <c r="G27" s="112">
        <v>5926298</v>
      </c>
      <c r="H27" s="112">
        <v>5926299</v>
      </c>
      <c r="I27" s="112">
        <v>5926300</v>
      </c>
      <c r="J27" s="112">
        <v>5926301</v>
      </c>
      <c r="K27" s="112">
        <v>5926302</v>
      </c>
      <c r="L27" s="112">
        <v>4251136</v>
      </c>
      <c r="M27" s="112">
        <v>4251137</v>
      </c>
      <c r="N27" s="112">
        <v>4251138</v>
      </c>
      <c r="O27" s="112">
        <v>4251139</v>
      </c>
      <c r="P27" s="112">
        <v>4251140</v>
      </c>
      <c r="Q27" s="112">
        <v>4251141</v>
      </c>
      <c r="R27" s="2">
        <f t="shared" si="3"/>
        <v>61064628</v>
      </c>
      <c r="S27" s="94">
        <f t="shared" si="4"/>
        <v>0</v>
      </c>
    </row>
    <row r="28" spans="1:152" ht="24.75" customHeight="1" thickTop="1" thickBot="1" x14ac:dyDescent="0.3">
      <c r="A28" s="109" t="s">
        <v>244</v>
      </c>
      <c r="B28" s="110">
        <f>1150+50+942771+1677133+10060</f>
        <v>2631164</v>
      </c>
      <c r="C28" s="110">
        <f>3693074.02+500000</f>
        <v>4193074.02</v>
      </c>
      <c r="D28" s="111">
        <v>5626501.2871000003</v>
      </c>
      <c r="E28" s="107">
        <v>5451501.0721000005</v>
      </c>
      <c r="F28" s="112">
        <v>967116.95371666679</v>
      </c>
      <c r="G28" s="112">
        <v>494590.55571666663</v>
      </c>
      <c r="H28" s="112">
        <v>453581.55571666668</v>
      </c>
      <c r="I28" s="112">
        <v>393417.13571666664</v>
      </c>
      <c r="J28" s="112">
        <v>395350.0402166667</v>
      </c>
      <c r="K28" s="112">
        <v>382633.29621666664</v>
      </c>
      <c r="L28" s="112">
        <v>393637.79704999999</v>
      </c>
      <c r="M28" s="112">
        <v>383025.39255000005</v>
      </c>
      <c r="N28" s="112">
        <v>476895.39255000005</v>
      </c>
      <c r="O28" s="112">
        <v>474295.39255000005</v>
      </c>
      <c r="P28" s="112">
        <v>472995.39255000005</v>
      </c>
      <c r="Q28" s="112">
        <v>338962.38255000004</v>
      </c>
      <c r="R28" s="2">
        <f t="shared" si="3"/>
        <v>5626501.2871000003</v>
      </c>
      <c r="S28" s="94">
        <f t="shared" si="4"/>
        <v>0</v>
      </c>
    </row>
    <row r="29" spans="1:152" s="117" customFormat="1" ht="27.75" customHeight="1" thickTop="1"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row>
    <row r="30" spans="1:152" s="117" customFormat="1" ht="29.25" customHeight="1" x14ac:dyDescent="0.25">
      <c r="A30"/>
      <c r="B30"/>
      <c r="C30"/>
      <c r="D30" s="94"/>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row>
    <row r="31" spans="1:152" ht="15.75" customHeight="1" x14ac:dyDescent="0.25">
      <c r="D31" s="2"/>
    </row>
    <row r="32" spans="1:152" s="117" customFormat="1" ht="27" customHeight="1"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row>
    <row r="33" spans="1:152" s="117" customFormat="1" ht="27.75" customHeight="1"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row>
    <row r="34" spans="1:152" s="117" customFormat="1"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row>
    <row r="35" spans="1:152" s="117" customFormat="1"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row>
    <row r="36" spans="1:152" s="117" customFormat="1" ht="15.75" customHeight="1"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row>
    <row r="37" spans="1:152" ht="15.75" customHeight="1" x14ac:dyDescent="0.25"/>
    <row r="38" spans="1:152" s="117" customFormat="1" ht="15.75" customHeight="1"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row>
    <row r="39" spans="1:152" s="117" customFormat="1" ht="15.75" customHeight="1"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row>
    <row r="40" spans="1:152" s="117" customFormat="1" ht="15.75" customHeight="1"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row>
    <row r="41" spans="1:152" s="117" customFormat="1" ht="15.75" customHeight="1"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row>
    <row r="42" spans="1:152" s="117" customFormat="1" ht="15.75" customHeight="1"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row>
    <row r="43" spans="1:152" s="117" customFormat="1" ht="15.75" customHeight="1"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row>
    <row r="44" spans="1:152" ht="15.75" customHeight="1" x14ac:dyDescent="0.25"/>
    <row r="45" spans="1:152" s="117" customFormat="1" ht="15.75" customHeight="1"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row>
    <row r="46" spans="1:152" s="117" customFormat="1" ht="15.75" customHeight="1"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row>
    <row r="47" spans="1:152" s="117" customFormat="1" ht="15.75" customHeight="1"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row>
    <row r="48" spans="1:152" s="117" customFormat="1" ht="15.75" customHeight="1"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row>
    <row r="49" spans="1:152" ht="15.75" customHeight="1" x14ac:dyDescent="0.25"/>
    <row r="50" spans="1:152" s="117" customFormat="1" ht="15.75" customHeight="1" x14ac:dyDescent="0.25">
      <c r="A50"/>
      <c r="B50"/>
      <c r="C50"/>
      <c r="D50"/>
      <c r="E50"/>
      <c r="F50"/>
      <c r="G50"/>
      <c r="H50"/>
      <c r="I50"/>
      <c r="J50"/>
      <c r="K50"/>
      <c r="L50"/>
      <c r="M50"/>
      <c r="N50"/>
      <c r="O50"/>
      <c r="P50"/>
      <c r="Q50"/>
      <c r="R50"/>
    </row>
    <row r="51" spans="1:152" s="117" customFormat="1" ht="15.75" customHeight="1" x14ac:dyDescent="0.25">
      <c r="A51"/>
      <c r="B51"/>
      <c r="C51"/>
      <c r="D51"/>
      <c r="E51"/>
      <c r="F51"/>
      <c r="G51"/>
      <c r="H51"/>
      <c r="I51"/>
      <c r="J51"/>
      <c r="K51"/>
      <c r="L51"/>
      <c r="M51"/>
      <c r="N51"/>
      <c r="O51"/>
      <c r="P51"/>
      <c r="Q51"/>
      <c r="R51"/>
    </row>
    <row r="52" spans="1:152" s="117" customFormat="1" ht="15.75" customHeight="1" x14ac:dyDescent="0.25">
      <c r="A52"/>
      <c r="B52"/>
      <c r="C52"/>
      <c r="D52"/>
      <c r="E52"/>
      <c r="F52"/>
      <c r="G52"/>
      <c r="H52"/>
      <c r="I52"/>
      <c r="J52"/>
      <c r="K52"/>
      <c r="L52"/>
      <c r="M52"/>
      <c r="N52"/>
      <c r="O52"/>
      <c r="P52"/>
      <c r="Q52"/>
      <c r="R52"/>
    </row>
    <row r="53" spans="1:152" s="117" customFormat="1" ht="15.75" customHeight="1" x14ac:dyDescent="0.25">
      <c r="A53"/>
      <c r="B53"/>
      <c r="C53"/>
      <c r="D53"/>
      <c r="E53"/>
      <c r="F53"/>
      <c r="G53"/>
      <c r="H53"/>
      <c r="I53"/>
      <c r="J53"/>
      <c r="K53"/>
      <c r="L53"/>
      <c r="M53"/>
      <c r="N53"/>
      <c r="O53"/>
      <c r="P53"/>
      <c r="Q53"/>
      <c r="R53"/>
    </row>
    <row r="54" spans="1:152" s="117" customFormat="1" ht="15.75" customHeight="1" x14ac:dyDescent="0.25">
      <c r="A54"/>
      <c r="B54"/>
      <c r="C54"/>
      <c r="D54"/>
      <c r="E54"/>
      <c r="F54"/>
      <c r="G54"/>
      <c r="H54"/>
      <c r="I54"/>
      <c r="J54"/>
      <c r="K54"/>
      <c r="L54"/>
      <c r="M54"/>
      <c r="N54"/>
      <c r="O54"/>
      <c r="P54"/>
      <c r="Q54"/>
      <c r="R54"/>
    </row>
    <row r="55" spans="1:152" ht="15.75" customHeight="1" x14ac:dyDescent="0.25"/>
    <row r="56" spans="1:152" s="117" customFormat="1" x14ac:dyDescent="0.25">
      <c r="A56"/>
      <c r="B56"/>
      <c r="C56"/>
      <c r="D56"/>
      <c r="E56"/>
      <c r="F56"/>
      <c r="G56"/>
      <c r="H56"/>
      <c r="I56"/>
      <c r="J56"/>
      <c r="K56"/>
      <c r="L56"/>
      <c r="M56"/>
      <c r="N56"/>
      <c r="O56"/>
      <c r="P56"/>
      <c r="Q56"/>
      <c r="R56"/>
    </row>
    <row r="57" spans="1:152" s="117" customFormat="1" ht="15.75" customHeight="1" x14ac:dyDescent="0.25">
      <c r="A57"/>
      <c r="B57"/>
      <c r="C57"/>
      <c r="D57"/>
      <c r="E57"/>
      <c r="F57"/>
      <c r="G57"/>
      <c r="H57"/>
      <c r="I57"/>
      <c r="J57"/>
      <c r="K57"/>
      <c r="L57"/>
      <c r="M57"/>
      <c r="N57"/>
      <c r="O57"/>
      <c r="P57"/>
      <c r="Q57"/>
      <c r="R57"/>
    </row>
    <row r="58" spans="1:152" s="117" customFormat="1" ht="16.5" customHeight="1" x14ac:dyDescent="0.25">
      <c r="A58"/>
      <c r="B58"/>
      <c r="C58"/>
      <c r="D58"/>
      <c r="E58"/>
      <c r="F58"/>
      <c r="G58"/>
      <c r="H58"/>
      <c r="I58"/>
      <c r="J58"/>
      <c r="K58"/>
      <c r="L58"/>
      <c r="M58"/>
      <c r="N58"/>
      <c r="O58"/>
      <c r="P58"/>
      <c r="Q58"/>
      <c r="R58"/>
    </row>
    <row r="59" spans="1:152" ht="15.75" customHeight="1" x14ac:dyDescent="0.25"/>
    <row r="60" spans="1:152" s="117" customFormat="1" ht="15.75" customHeight="1"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row>
    <row r="61" spans="1:152" s="117" customFormat="1" ht="15.75" customHeight="1"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row>
    <row r="62" spans="1:152" s="117" customFormat="1" ht="15.75" customHeigh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row>
    <row r="63" spans="1:152" s="117" customFormat="1" ht="15.75" customHeight="1"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row>
    <row r="64" spans="1:152" s="117" customFormat="1" ht="15.75" customHeight="1"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row>
    <row r="65" spans="1:152" s="117" customFormat="1" ht="15.75" customHeight="1"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row>
    <row r="66" spans="1:152" ht="15.75" customHeight="1" x14ac:dyDescent="0.25"/>
    <row r="67" spans="1:152" s="117" customFormat="1" ht="29.25" customHeight="1"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row>
    <row r="68" spans="1:152" s="117" customFormat="1" ht="15.75" customHeight="1"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row>
    <row r="69" spans="1:152" s="117" customFormat="1" ht="15.75" customHeight="1"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row>
    <row r="70" spans="1:152" s="117" customFormat="1" ht="15.75" customHeight="1"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row>
    <row r="71" spans="1:152" s="117" customFormat="1" ht="15.75" customHeight="1"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row>
    <row r="72" spans="1:152" s="117" customFormat="1" ht="15.75" customHeight="1"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row>
    <row r="73" spans="1:152" ht="15.75" customHeight="1" x14ac:dyDescent="0.25"/>
    <row r="74" spans="1:152" s="117" customFormat="1" ht="15.75" customHeight="1"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row>
    <row r="75" spans="1:152" s="117" customFormat="1" ht="15.75" customHeight="1"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row>
    <row r="76" spans="1:152" s="117" customFormat="1" ht="15.75" customHeight="1"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row>
    <row r="77" spans="1:152" ht="15.75" customHeight="1" x14ac:dyDescent="0.25"/>
    <row r="78" spans="1:152" s="117" customFormat="1" ht="15.75" customHeight="1"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row>
    <row r="79" spans="1:152" s="117" customFormat="1" ht="15.75" customHeight="1"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row>
    <row r="80" spans="1:152" s="117" customFormat="1" ht="15.75" customHeight="1"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row>
    <row r="81" spans="1:152" ht="15.75" customHeight="1" x14ac:dyDescent="0.25"/>
    <row r="82" spans="1:152" s="117" customFormat="1" ht="15.75" customHeight="1"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row>
    <row r="83" spans="1:152" s="117" customFormat="1" ht="15.75" customHeight="1"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row>
    <row r="84" spans="1:152" s="117" customFormat="1" ht="15.75" customHeight="1"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row>
    <row r="85" spans="1:152" ht="15.75" customHeight="1" x14ac:dyDescent="0.25"/>
    <row r="86" spans="1:152" s="117" customFormat="1" ht="15.75" customHeight="1"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row>
    <row r="87" spans="1:152" s="117" customFormat="1" ht="15.75" customHeight="1"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row>
    <row r="88" spans="1:152" s="117" customFormat="1" ht="15.75" customHeight="1"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row>
    <row r="89" spans="1:152" ht="15.75" customHeight="1" x14ac:dyDescent="0.25"/>
    <row r="90" spans="1:152" s="117" customFormat="1" ht="15.75" customHeight="1" x14ac:dyDescent="0.25">
      <c r="A90"/>
      <c r="B90"/>
      <c r="C90"/>
      <c r="D90"/>
      <c r="E90"/>
      <c r="F90"/>
      <c r="G90"/>
      <c r="H90"/>
      <c r="I90"/>
      <c r="J90"/>
      <c r="K90"/>
      <c r="L90"/>
      <c r="M90"/>
      <c r="N90"/>
      <c r="O90"/>
      <c r="P90"/>
      <c r="Q90"/>
      <c r="R90"/>
    </row>
    <row r="91" spans="1:152" s="117" customFormat="1" ht="15.75" customHeight="1" x14ac:dyDescent="0.25">
      <c r="A91"/>
      <c r="B91"/>
      <c r="C91"/>
      <c r="D91"/>
      <c r="E91"/>
      <c r="F91"/>
      <c r="G91"/>
      <c r="H91"/>
      <c r="I91"/>
      <c r="J91"/>
      <c r="K91"/>
      <c r="L91"/>
      <c r="M91"/>
      <c r="N91"/>
      <c r="O91"/>
      <c r="P91"/>
      <c r="Q91"/>
      <c r="R91"/>
    </row>
    <row r="92" spans="1:152" s="117" customFormat="1" ht="15.75" customHeight="1" x14ac:dyDescent="0.25">
      <c r="A92"/>
      <c r="B92"/>
      <c r="C92"/>
      <c r="D92"/>
      <c r="E92"/>
      <c r="F92"/>
      <c r="G92"/>
      <c r="H92"/>
      <c r="I92"/>
      <c r="J92"/>
      <c r="K92"/>
      <c r="L92"/>
      <c r="M92"/>
      <c r="N92"/>
      <c r="O92"/>
      <c r="P92"/>
      <c r="Q92"/>
      <c r="R92"/>
    </row>
    <row r="93" spans="1:152" ht="15.75" customHeight="1" x14ac:dyDescent="0.25"/>
    <row r="94" spans="1:152" s="117" customFormat="1" ht="15.75" customHeight="1"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row>
    <row r="95" spans="1:152" s="117" customFormat="1" ht="15.75" customHeight="1"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row>
    <row r="96" spans="1:152" s="117" customFormat="1" ht="15.75" customHeight="1"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row>
    <row r="97" spans="1:152" s="117" customFormat="1" ht="15.75" customHeight="1"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row>
    <row r="98" spans="1:152" s="117" customFormat="1" ht="26.25" customHeight="1"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row>
    <row r="99" spans="1:152" ht="15.75" customHeight="1" x14ac:dyDescent="0.25"/>
    <row r="100" spans="1:152" s="117" customFormat="1" ht="15.75"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row>
    <row r="101" spans="1:152" s="117" customFormat="1" ht="15.75"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row>
    <row r="102" spans="1:152" s="117" customFormat="1" ht="15.75"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row>
    <row r="103" spans="1:152" s="117" customFormat="1" ht="15.75"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row>
    <row r="104" spans="1:152" ht="15.75" customHeight="1" x14ac:dyDescent="0.25"/>
    <row r="105" spans="1:152" s="117" customFormat="1" ht="15.75"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row>
    <row r="106" spans="1:152" s="117" customFormat="1" ht="15.75"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row>
    <row r="107" spans="1:152" s="117" customFormat="1" ht="15.75"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row>
    <row r="108" spans="1:152" s="117" customFormat="1" ht="15.75"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row>
    <row r="109" spans="1:152" s="117" customFormat="1" ht="15.75"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row>
    <row r="110" spans="1:152" s="117" customFormat="1" ht="15.75"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row>
    <row r="111" spans="1:152" s="117" customFormat="1" ht="15.75"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row>
    <row r="112" spans="1:152" s="117" customFormat="1" ht="15.75"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row>
    <row r="113" spans="1:152" ht="15.75" customHeight="1" x14ac:dyDescent="0.25"/>
    <row r="114" spans="1:152" s="117" customFormat="1" ht="15.75"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row>
    <row r="115" spans="1:152" s="117" customFormat="1" ht="15.75"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row>
    <row r="116" spans="1:152" ht="15.75" customHeight="1" x14ac:dyDescent="0.25"/>
    <row r="117" spans="1:152" s="117" customFormat="1" ht="15.75"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row>
    <row r="118" spans="1:152" s="117" customFormat="1" ht="15.75"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row>
    <row r="119" spans="1:152" ht="15.75" customHeight="1" x14ac:dyDescent="0.25"/>
    <row r="120" spans="1:152" s="117" customFormat="1" ht="15.75" customHeight="1" x14ac:dyDescent="0.25">
      <c r="A120"/>
      <c r="B120"/>
      <c r="C120"/>
      <c r="D120"/>
      <c r="E120"/>
      <c r="F120"/>
      <c r="G120"/>
      <c r="H120"/>
      <c r="I120"/>
      <c r="J120"/>
      <c r="K120"/>
      <c r="L120"/>
      <c r="M120"/>
      <c r="N120"/>
      <c r="O120"/>
      <c r="P120"/>
      <c r="Q120"/>
      <c r="R120"/>
    </row>
    <row r="121" spans="1:152" s="117" customFormat="1" x14ac:dyDescent="0.25">
      <c r="A121"/>
      <c r="B121"/>
      <c r="C121"/>
      <c r="D121"/>
      <c r="E121"/>
      <c r="F121"/>
      <c r="G121"/>
      <c r="H121"/>
      <c r="I121"/>
      <c r="J121"/>
      <c r="K121"/>
      <c r="L121"/>
      <c r="M121"/>
      <c r="N121"/>
      <c r="O121"/>
      <c r="P121"/>
      <c r="Q121"/>
      <c r="R121"/>
    </row>
    <row r="122" spans="1:152" s="117" customFormat="1" x14ac:dyDescent="0.25">
      <c r="A122"/>
      <c r="B122"/>
      <c r="C122"/>
      <c r="D122"/>
      <c r="E122"/>
      <c r="F122"/>
      <c r="G122"/>
      <c r="H122"/>
      <c r="I122"/>
      <c r="J122"/>
      <c r="K122"/>
      <c r="L122"/>
      <c r="M122"/>
      <c r="N122"/>
      <c r="O122"/>
      <c r="P122"/>
      <c r="Q122"/>
      <c r="R122"/>
    </row>
    <row r="123" spans="1:152" s="117" customFormat="1" x14ac:dyDescent="0.25">
      <c r="A123"/>
      <c r="B123"/>
      <c r="C123"/>
      <c r="D123"/>
      <c r="E123"/>
      <c r="F123"/>
      <c r="G123"/>
      <c r="H123"/>
      <c r="I123"/>
      <c r="J123"/>
      <c r="K123"/>
      <c r="L123"/>
      <c r="M123"/>
      <c r="N123"/>
      <c r="O123"/>
      <c r="P123"/>
      <c r="Q123"/>
      <c r="R123"/>
    </row>
    <row r="124" spans="1:152" s="117" customFormat="1" x14ac:dyDescent="0.25">
      <c r="A124"/>
      <c r="B124"/>
      <c r="C124"/>
      <c r="D124"/>
      <c r="E124"/>
      <c r="F124"/>
      <c r="G124"/>
      <c r="H124"/>
      <c r="I124"/>
      <c r="J124"/>
      <c r="K124"/>
      <c r="L124"/>
      <c r="M124"/>
      <c r="N124"/>
      <c r="O124"/>
      <c r="P124"/>
      <c r="Q124"/>
      <c r="R124"/>
    </row>
  </sheetData>
  <mergeCells count="17">
    <mergeCell ref="M3:M4"/>
    <mergeCell ref="N3:N4"/>
    <mergeCell ref="O3:O4"/>
    <mergeCell ref="P3:P4"/>
    <mergeCell ref="Q3:Q4"/>
    <mergeCell ref="L3:L4"/>
    <mergeCell ref="A3:A4"/>
    <mergeCell ref="B3:B4"/>
    <mergeCell ref="C3:C4"/>
    <mergeCell ref="D3:D4"/>
    <mergeCell ref="E3:E4"/>
    <mergeCell ref="F3:F4"/>
    <mergeCell ref="G3:G4"/>
    <mergeCell ref="H3:H4"/>
    <mergeCell ref="I3:I4"/>
    <mergeCell ref="J3:J4"/>
    <mergeCell ref="K3:K4"/>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23"/>
  <sheetViews>
    <sheetView workbookViewId="0">
      <pane xSplit="3" ySplit="4" topLeftCell="J14" activePane="bottomRight" state="frozen"/>
      <selection pane="topRight" activeCell="D1" sqref="D1"/>
      <selection pane="bottomLeft" activeCell="A5" sqref="A5"/>
      <selection pane="bottomRight" activeCell="D8" sqref="D8:D13"/>
    </sheetView>
  </sheetViews>
  <sheetFormatPr defaultRowHeight="15" x14ac:dyDescent="0.25"/>
  <cols>
    <col min="1" max="1" width="67.7109375" customWidth="1"/>
    <col min="2" max="2" width="18.28515625" hidden="1" customWidth="1"/>
    <col min="3" max="3" width="16.28515625" hidden="1" customWidth="1"/>
    <col min="4" max="4" width="16.28515625" bestFit="1" customWidth="1"/>
    <col min="5" max="11" width="15.28515625" bestFit="1" customWidth="1"/>
    <col min="12" max="12" width="17" customWidth="1"/>
    <col min="13" max="13" width="15.28515625" bestFit="1" customWidth="1"/>
    <col min="14" max="14" width="15.28515625" customWidth="1"/>
    <col min="15" max="16" width="15.28515625" bestFit="1" customWidth="1"/>
  </cols>
  <sheetData>
    <row r="1" spans="1:16" ht="27.75" customHeight="1" thickBot="1" x14ac:dyDescent="0.3">
      <c r="B1" s="447" t="s">
        <v>175</v>
      </c>
      <c r="C1" s="447"/>
      <c r="D1" s="447"/>
      <c r="E1">
        <f>100-76</f>
        <v>24</v>
      </c>
    </row>
    <row r="2" spans="1:16" ht="20.25" customHeight="1" thickTop="1" thickBot="1" x14ac:dyDescent="0.3">
      <c r="A2" s="443" t="s">
        <v>216</v>
      </c>
      <c r="B2" s="444" t="s">
        <v>217</v>
      </c>
      <c r="C2" s="444" t="s">
        <v>218</v>
      </c>
      <c r="D2" s="446" t="s">
        <v>245</v>
      </c>
      <c r="E2" s="442" t="s">
        <v>161</v>
      </c>
      <c r="F2" s="442" t="s">
        <v>162</v>
      </c>
      <c r="G2" s="442" t="s">
        <v>163</v>
      </c>
      <c r="H2" s="442" t="s">
        <v>164</v>
      </c>
      <c r="I2" s="442" t="s">
        <v>165</v>
      </c>
      <c r="J2" s="442" t="s">
        <v>166</v>
      </c>
      <c r="K2" s="442" t="s">
        <v>167</v>
      </c>
      <c r="L2" s="442" t="s">
        <v>168</v>
      </c>
      <c r="M2" s="442" t="s">
        <v>169</v>
      </c>
      <c r="N2" s="442" t="s">
        <v>170</v>
      </c>
      <c r="O2" s="442" t="s">
        <v>171</v>
      </c>
      <c r="P2" s="442" t="s">
        <v>172</v>
      </c>
    </row>
    <row r="3" spans="1:16" ht="20.25" customHeight="1" thickTop="1" thickBot="1" x14ac:dyDescent="0.3">
      <c r="A3" s="443"/>
      <c r="B3" s="445"/>
      <c r="C3" s="445"/>
      <c r="D3" s="446"/>
      <c r="E3" s="442"/>
      <c r="F3" s="442"/>
      <c r="G3" s="442"/>
      <c r="H3" s="442"/>
      <c r="I3" s="442"/>
      <c r="J3" s="442"/>
      <c r="K3" s="442"/>
      <c r="L3" s="442"/>
      <c r="M3" s="442"/>
      <c r="N3" s="442"/>
      <c r="O3" s="442"/>
      <c r="P3" s="442"/>
    </row>
    <row r="4" spans="1:16" ht="45.75" customHeight="1" thickTop="1" thickBot="1" x14ac:dyDescent="0.3">
      <c r="A4" s="99" t="s">
        <v>221</v>
      </c>
      <c r="B4" s="100">
        <f>B5+B6+B7</f>
        <v>29609254</v>
      </c>
      <c r="C4" s="100">
        <f>C5+C6+C7</f>
        <v>41547244.979999997</v>
      </c>
      <c r="D4" s="100">
        <f>D5+D6+D7</f>
        <v>42067632.617999524</v>
      </c>
      <c r="E4" s="100">
        <f t="shared" ref="E4:P4" si="0">E5+E6+E7</f>
        <v>3459165.7903547492</v>
      </c>
      <c r="F4" s="100">
        <f t="shared" si="0"/>
        <v>3500753.2083547488</v>
      </c>
      <c r="G4" s="100">
        <f t="shared" si="0"/>
        <v>3460386.2440547487</v>
      </c>
      <c r="H4" s="100">
        <f t="shared" si="0"/>
        <v>3457876.7980547491</v>
      </c>
      <c r="I4" s="100">
        <f t="shared" si="0"/>
        <v>3457876.7980547491</v>
      </c>
      <c r="J4" s="100">
        <f t="shared" si="0"/>
        <v>3528534.0654547485</v>
      </c>
      <c r="K4" s="100">
        <f t="shared" si="0"/>
        <v>3462348.2174873753</v>
      </c>
      <c r="L4" s="100">
        <f t="shared" si="0"/>
        <v>3459490.6244873758</v>
      </c>
      <c r="M4" s="100">
        <f t="shared" si="0"/>
        <v>3544007.561748072</v>
      </c>
      <c r="N4" s="100">
        <f t="shared" si="0"/>
        <v>3545731.1033160724</v>
      </c>
      <c r="O4" s="100">
        <f t="shared" si="0"/>
        <v>3545731.1033160724</v>
      </c>
      <c r="P4" s="100">
        <f t="shared" si="0"/>
        <v>3645731.1033160724</v>
      </c>
    </row>
    <row r="5" spans="1:16" ht="45.75" customHeight="1" thickBot="1" x14ac:dyDescent="0.3">
      <c r="A5" s="102" t="s">
        <v>223</v>
      </c>
      <c r="B5" s="103">
        <f>B8+B9+B10+B11+B22+B12+B13+B14+B15+B16+B17+B18+B19</f>
        <v>25981944</v>
      </c>
      <c r="C5" s="103">
        <f>C8+C9+C10+C11+C22+C12+C13+C14+C15+C16+C17+C18+C19</f>
        <v>36602002.149999999</v>
      </c>
      <c r="D5" s="103">
        <f>D8+D9+D10+D11+D22+D12+D13+D14+D15+D16+D17+D18+D19</f>
        <v>36425255.694607504</v>
      </c>
      <c r="E5" s="103">
        <f t="shared" ref="E5:P5" si="1">E8+E9+E10+E11+E22+E12+E13+E14+E15+E16+E17+E18+E19</f>
        <v>2992739.3604019722</v>
      </c>
      <c r="F5" s="103">
        <f t="shared" si="1"/>
        <v>3034326.7784019718</v>
      </c>
      <c r="G5" s="103">
        <f t="shared" si="1"/>
        <v>2993959.8141019722</v>
      </c>
      <c r="H5" s="103">
        <f t="shared" si="1"/>
        <v>2991450.3681019722</v>
      </c>
      <c r="I5" s="103">
        <f t="shared" si="1"/>
        <v>2991450.3681019722</v>
      </c>
      <c r="J5" s="103">
        <f t="shared" si="1"/>
        <v>3062107.6355019719</v>
      </c>
      <c r="K5" s="103">
        <f t="shared" si="1"/>
        <v>2995921.7875345987</v>
      </c>
      <c r="L5" s="103">
        <f t="shared" si="1"/>
        <v>2993064.1945345988</v>
      </c>
      <c r="M5" s="103">
        <f t="shared" si="1"/>
        <v>3066342.5401396202</v>
      </c>
      <c r="N5" s="103">
        <f t="shared" si="1"/>
        <v>3067964.2825956205</v>
      </c>
      <c r="O5" s="103">
        <f t="shared" si="1"/>
        <v>3067964.2825956205</v>
      </c>
      <c r="P5" s="103">
        <f t="shared" si="1"/>
        <v>3167964.2825956205</v>
      </c>
    </row>
    <row r="6" spans="1:16" ht="45.75" customHeight="1" thickBot="1" x14ac:dyDescent="0.3">
      <c r="A6" s="102" t="s">
        <v>224</v>
      </c>
      <c r="B6" s="103">
        <f>B21</f>
        <v>2695898</v>
      </c>
      <c r="C6" s="103">
        <f>C21</f>
        <v>3848528.51</v>
      </c>
      <c r="D6" s="103">
        <f>D21</f>
        <v>4419376.3427279172</v>
      </c>
      <c r="E6" s="103">
        <f t="shared" ref="E6:P6" si="2">E21</f>
        <v>365420.15101274586</v>
      </c>
      <c r="F6" s="103">
        <f t="shared" si="2"/>
        <v>365420.15101274586</v>
      </c>
      <c r="G6" s="103">
        <f t="shared" si="2"/>
        <v>365420.15101274586</v>
      </c>
      <c r="H6" s="103">
        <f t="shared" si="2"/>
        <v>365420.15101274586</v>
      </c>
      <c r="I6" s="103">
        <f t="shared" si="2"/>
        <v>365420.15101274586</v>
      </c>
      <c r="J6" s="103">
        <f t="shared" si="2"/>
        <v>365420.15101274586</v>
      </c>
      <c r="K6" s="103">
        <f t="shared" si="2"/>
        <v>365420.15101274586</v>
      </c>
      <c r="L6" s="103">
        <f t="shared" si="2"/>
        <v>365420.15101274586</v>
      </c>
      <c r="M6" s="103">
        <f t="shared" si="2"/>
        <v>373932.30716848752</v>
      </c>
      <c r="N6" s="103">
        <f t="shared" si="2"/>
        <v>374027.60915248748</v>
      </c>
      <c r="O6" s="103">
        <f t="shared" si="2"/>
        <v>374027.60915248748</v>
      </c>
      <c r="P6" s="103">
        <f t="shared" si="2"/>
        <v>374027.60915248748</v>
      </c>
    </row>
    <row r="7" spans="1:16" ht="45.75" customHeight="1" thickBot="1" x14ac:dyDescent="0.3">
      <c r="A7" s="102" t="s">
        <v>225</v>
      </c>
      <c r="B7" s="103">
        <f>B20</f>
        <v>931412</v>
      </c>
      <c r="C7" s="103">
        <f>C20</f>
        <v>1096714.32</v>
      </c>
      <c r="D7" s="103">
        <f>D20</f>
        <v>1223000.5806641059</v>
      </c>
      <c r="E7" s="103">
        <f t="shared" ref="E7:P7" si="3">E20</f>
        <v>101006.27894003107</v>
      </c>
      <c r="F7" s="103">
        <f t="shared" si="3"/>
        <v>101006.27894003107</v>
      </c>
      <c r="G7" s="103">
        <f t="shared" si="3"/>
        <v>101006.27894003107</v>
      </c>
      <c r="H7" s="103">
        <f t="shared" si="3"/>
        <v>101006.27894003107</v>
      </c>
      <c r="I7" s="103">
        <f t="shared" si="3"/>
        <v>101006.27894003107</v>
      </c>
      <c r="J7" s="103">
        <f t="shared" si="3"/>
        <v>101006.27894003107</v>
      </c>
      <c r="K7" s="103">
        <f t="shared" si="3"/>
        <v>101006.27894003107</v>
      </c>
      <c r="L7" s="103">
        <f t="shared" si="3"/>
        <v>101006.27894003107</v>
      </c>
      <c r="M7" s="103">
        <f t="shared" si="3"/>
        <v>103732.7144399643</v>
      </c>
      <c r="N7" s="103">
        <f t="shared" si="3"/>
        <v>103739.21156796429</v>
      </c>
      <c r="O7" s="103">
        <f t="shared" si="3"/>
        <v>103739.21156796429</v>
      </c>
      <c r="P7" s="103">
        <f t="shared" si="3"/>
        <v>103739.21156796429</v>
      </c>
    </row>
    <row r="8" spans="1:16" ht="33" customHeight="1" thickBot="1" x14ac:dyDescent="0.3">
      <c r="A8" s="105" t="s">
        <v>226</v>
      </c>
      <c r="B8" s="106">
        <f>680814+2865034</f>
        <v>3545848</v>
      </c>
      <c r="C8" s="106">
        <v>4213231.17</v>
      </c>
      <c r="D8" s="107">
        <v>5380214.3472065749</v>
      </c>
      <c r="E8" s="107">
        <v>443520.81776560197</v>
      </c>
      <c r="F8" s="107">
        <v>443520.81776560197</v>
      </c>
      <c r="G8" s="107">
        <v>443520.81776560197</v>
      </c>
      <c r="H8" s="107">
        <v>443520.81776560197</v>
      </c>
      <c r="I8" s="107">
        <v>443520.81776560197</v>
      </c>
      <c r="J8" s="107">
        <v>444199.25496560195</v>
      </c>
      <c r="K8" s="107">
        <v>444516.18124076445</v>
      </c>
      <c r="L8" s="107">
        <v>444516.18124076445</v>
      </c>
      <c r="M8" s="107">
        <v>457120.81292285863</v>
      </c>
      <c r="N8" s="107">
        <v>457419.27600285853</v>
      </c>
      <c r="O8" s="107">
        <v>457419.27600285853</v>
      </c>
      <c r="P8" s="107">
        <v>457419.27600285853</v>
      </c>
    </row>
    <row r="9" spans="1:16" ht="33" customHeight="1" thickTop="1" thickBot="1" x14ac:dyDescent="0.3">
      <c r="A9" s="109" t="s">
        <v>227</v>
      </c>
      <c r="B9" s="110">
        <f>589146+991644</f>
        <v>1580790</v>
      </c>
      <c r="C9" s="110">
        <v>1996044.74</v>
      </c>
      <c r="D9" s="111">
        <v>2034287.2845974565</v>
      </c>
      <c r="E9" s="111">
        <v>167839.20328193009</v>
      </c>
      <c r="F9" s="111">
        <v>167839.20328193009</v>
      </c>
      <c r="G9" s="111">
        <v>167839.20328193009</v>
      </c>
      <c r="H9" s="111">
        <v>167839.20328193009</v>
      </c>
      <c r="I9" s="111">
        <v>167839.20328193009</v>
      </c>
      <c r="J9" s="111">
        <v>167839.20328193009</v>
      </c>
      <c r="K9" s="111">
        <v>168029.34698978241</v>
      </c>
      <c r="L9" s="111">
        <v>168029.34698978241</v>
      </c>
      <c r="M9" s="111">
        <v>172681.43745357776</v>
      </c>
      <c r="N9" s="111">
        <v>172837.31115757779</v>
      </c>
      <c r="O9" s="111">
        <v>172837.31115757779</v>
      </c>
      <c r="P9" s="111">
        <v>172837.31115757779</v>
      </c>
    </row>
    <row r="10" spans="1:16" ht="33" customHeight="1" thickTop="1" thickBot="1" x14ac:dyDescent="0.3">
      <c r="A10" s="109" t="s">
        <v>228</v>
      </c>
      <c r="B10" s="110">
        <f>335218+734987</f>
        <v>1070205</v>
      </c>
      <c r="C10" s="110">
        <v>1288395.73</v>
      </c>
      <c r="D10" s="111">
        <v>1281799.0862670415</v>
      </c>
      <c r="E10" s="111">
        <v>105744.36357968859</v>
      </c>
      <c r="F10" s="111">
        <v>105744.36357968859</v>
      </c>
      <c r="G10" s="111">
        <v>105744.36357968859</v>
      </c>
      <c r="H10" s="111">
        <v>105744.36357968859</v>
      </c>
      <c r="I10" s="111">
        <v>105744.36357968859</v>
      </c>
      <c r="J10" s="111">
        <v>105744.36357968859</v>
      </c>
      <c r="K10" s="111">
        <v>105744.36357968859</v>
      </c>
      <c r="L10" s="111">
        <v>105744.36357968859</v>
      </c>
      <c r="M10" s="111">
        <v>108925.25950138328</v>
      </c>
      <c r="N10" s="111">
        <v>108972.97270938328</v>
      </c>
      <c r="O10" s="111">
        <v>108972.97270938328</v>
      </c>
      <c r="P10" s="111">
        <v>108972.97270938328</v>
      </c>
    </row>
    <row r="11" spans="1:16" ht="33" customHeight="1" thickTop="1" thickBot="1" x14ac:dyDescent="0.3">
      <c r="A11" s="109" t="s">
        <v>229</v>
      </c>
      <c r="B11" s="110">
        <f>352815+478585</f>
        <v>831400</v>
      </c>
      <c r="C11" s="110">
        <v>1054383.8500000001</v>
      </c>
      <c r="D11" s="113">
        <v>997372.63464795612</v>
      </c>
      <c r="E11" s="113">
        <v>82319.94246052271</v>
      </c>
      <c r="F11" s="113">
        <v>82319.94246052271</v>
      </c>
      <c r="G11" s="113">
        <v>82319.94246052271</v>
      </c>
      <c r="H11" s="113">
        <v>82319.94246052271</v>
      </c>
      <c r="I11" s="113">
        <v>82319.94246052271</v>
      </c>
      <c r="J11" s="113">
        <v>82319.94246052271</v>
      </c>
      <c r="K11" s="113">
        <v>82319.94246052271</v>
      </c>
      <c r="L11" s="113">
        <v>82319.94246052271</v>
      </c>
      <c r="M11" s="113">
        <v>84695.762370943616</v>
      </c>
      <c r="N11" s="113">
        <v>84705.777530943626</v>
      </c>
      <c r="O11" s="113">
        <v>84705.777530943626</v>
      </c>
      <c r="P11" s="113">
        <v>84705.777530943626</v>
      </c>
    </row>
    <row r="12" spans="1:16" ht="33" customHeight="1" thickTop="1" thickBot="1" x14ac:dyDescent="0.3">
      <c r="A12" s="109" t="s">
        <v>230</v>
      </c>
      <c r="B12" s="110">
        <f>263591+511507</f>
        <v>775098</v>
      </c>
      <c r="C12" s="110">
        <v>984156.1</v>
      </c>
      <c r="D12" s="115">
        <v>1158138.9626435505</v>
      </c>
      <c r="E12" s="115">
        <v>95589.579566476197</v>
      </c>
      <c r="F12" s="115">
        <v>95589.579566476197</v>
      </c>
      <c r="G12" s="115">
        <v>95589.579566476197</v>
      </c>
      <c r="H12" s="115">
        <v>95589.579566476197</v>
      </c>
      <c r="I12" s="115">
        <v>95589.579566476197</v>
      </c>
      <c r="J12" s="115">
        <v>95589.579566476197</v>
      </c>
      <c r="K12" s="115">
        <v>95589.579566476197</v>
      </c>
      <c r="L12" s="115">
        <v>95589.579566476197</v>
      </c>
      <c r="M12" s="115">
        <v>98268.210871935255</v>
      </c>
      <c r="N12" s="115">
        <v>98384.705079935258</v>
      </c>
      <c r="O12" s="115">
        <v>98384.705079935258</v>
      </c>
      <c r="P12" s="115">
        <v>98384.705079935258</v>
      </c>
    </row>
    <row r="13" spans="1:16" ht="33" customHeight="1" thickTop="1" thickBot="1" x14ac:dyDescent="0.3">
      <c r="A13" s="109" t="s">
        <v>231</v>
      </c>
      <c r="B13" s="110">
        <f>194161+881267</f>
        <v>1075428</v>
      </c>
      <c r="C13" s="110">
        <v>1461313.32</v>
      </c>
      <c r="D13" s="115">
        <v>1285672.6595456542</v>
      </c>
      <c r="E13" s="115">
        <v>106268.71917519812</v>
      </c>
      <c r="F13" s="115">
        <v>106268.71917519812</v>
      </c>
      <c r="G13" s="115">
        <v>106268.71917519812</v>
      </c>
      <c r="H13" s="115">
        <v>106268.71917519812</v>
      </c>
      <c r="I13" s="115">
        <v>106268.71917519812</v>
      </c>
      <c r="J13" s="115">
        <v>106268.71917519812</v>
      </c>
      <c r="K13" s="115">
        <v>106363.1855286685</v>
      </c>
      <c r="L13" s="115">
        <v>106363.1855286685</v>
      </c>
      <c r="M13" s="115">
        <v>108809.77330728213</v>
      </c>
      <c r="N13" s="115">
        <v>108841.40004328212</v>
      </c>
      <c r="O13" s="115">
        <v>108841.40004328212</v>
      </c>
      <c r="P13" s="115">
        <v>108841.40004328212</v>
      </c>
    </row>
    <row r="14" spans="1:16" ht="33" customHeight="1" thickTop="1" thickBot="1" x14ac:dyDescent="0.3">
      <c r="A14" s="109" t="s">
        <v>232</v>
      </c>
      <c r="B14" s="110">
        <f>758924+1027547</f>
        <v>1786471</v>
      </c>
      <c r="C14" s="110">
        <v>2299875.16</v>
      </c>
      <c r="D14" s="115">
        <v>2224730.2394742286</v>
      </c>
      <c r="E14" s="115">
        <v>183575.71837820119</v>
      </c>
      <c r="F14" s="115">
        <v>183575.71837820119</v>
      </c>
      <c r="G14" s="115">
        <v>183575.71837820119</v>
      </c>
      <c r="H14" s="115">
        <v>183575.71837820119</v>
      </c>
      <c r="I14" s="115">
        <v>183575.71837820119</v>
      </c>
      <c r="J14" s="115">
        <v>183575.71837820119</v>
      </c>
      <c r="K14" s="115">
        <v>183834.13130109472</v>
      </c>
      <c r="L14" s="115">
        <v>183834.13130109472</v>
      </c>
      <c r="M14" s="115">
        <v>188715.08139670797</v>
      </c>
      <c r="N14" s="115">
        <v>188964.19506870798</v>
      </c>
      <c r="O14" s="115">
        <v>188964.19506870798</v>
      </c>
      <c r="P14" s="115">
        <v>188964.19506870798</v>
      </c>
    </row>
    <row r="15" spans="1:16" ht="33" customHeight="1" thickTop="1" thickBot="1" x14ac:dyDescent="0.3">
      <c r="A15" s="109" t="s">
        <v>233</v>
      </c>
      <c r="B15" s="110">
        <f>245713+317445</f>
        <v>563158</v>
      </c>
      <c r="C15" s="110">
        <v>671556.28</v>
      </c>
      <c r="D15" s="448">
        <v>3353662.2934555886</v>
      </c>
      <c r="E15" s="448">
        <v>276612.97283857438</v>
      </c>
      <c r="F15" s="448">
        <v>280489.38313857437</v>
      </c>
      <c r="G15" s="448">
        <v>276612.97283857438</v>
      </c>
      <c r="H15" s="448">
        <v>276612.97283857438</v>
      </c>
      <c r="I15" s="448">
        <v>276612.97283857438</v>
      </c>
      <c r="J15" s="448">
        <v>276612.97283857438</v>
      </c>
      <c r="K15" s="448">
        <v>276612.97283857438</v>
      </c>
      <c r="L15" s="448">
        <v>276612.97283857438</v>
      </c>
      <c r="M15" s="448">
        <v>283972.77958574839</v>
      </c>
      <c r="N15" s="448">
        <v>284303.10695374839</v>
      </c>
      <c r="O15" s="448">
        <v>284303.10695374839</v>
      </c>
      <c r="P15" s="448">
        <v>284303.10695374839</v>
      </c>
    </row>
    <row r="16" spans="1:16" ht="33" customHeight="1" thickTop="1" thickBot="1" x14ac:dyDescent="0.3">
      <c r="A16" s="109" t="s">
        <v>234</v>
      </c>
      <c r="B16" s="110">
        <f>852791+1595210</f>
        <v>2448001</v>
      </c>
      <c r="C16" s="110">
        <v>2973066.92</v>
      </c>
      <c r="D16" s="449"/>
      <c r="E16" s="449"/>
      <c r="F16" s="449"/>
      <c r="G16" s="449"/>
      <c r="H16" s="449"/>
      <c r="I16" s="449"/>
      <c r="J16" s="449"/>
      <c r="K16" s="449"/>
      <c r="L16" s="449"/>
      <c r="M16" s="449"/>
      <c r="N16" s="449"/>
      <c r="O16" s="449"/>
      <c r="P16" s="449"/>
    </row>
    <row r="17" spans="1:16" ht="33" customHeight="1" thickTop="1" thickBot="1" x14ac:dyDescent="0.3">
      <c r="A17" s="109" t="s">
        <v>235</v>
      </c>
      <c r="B17" s="110"/>
      <c r="C17" s="110"/>
      <c r="D17" s="111">
        <v>50000</v>
      </c>
      <c r="E17" s="111"/>
      <c r="F17" s="111"/>
      <c r="G17" s="111"/>
      <c r="H17" s="111"/>
      <c r="I17" s="111"/>
      <c r="J17" s="111">
        <v>50000</v>
      </c>
      <c r="K17" s="111"/>
      <c r="L17" s="111"/>
      <c r="M17" s="111"/>
      <c r="N17" s="111"/>
      <c r="O17" s="111"/>
      <c r="P17" s="111"/>
    </row>
    <row r="18" spans="1:16" ht="33" customHeight="1" thickTop="1" thickBot="1" x14ac:dyDescent="0.3">
      <c r="A18" s="109" t="s">
        <v>236</v>
      </c>
      <c r="B18" s="110"/>
      <c r="C18" s="110"/>
      <c r="D18" s="111">
        <v>20000</v>
      </c>
      <c r="E18" s="111"/>
      <c r="F18" s="111">
        <v>20000</v>
      </c>
      <c r="G18" s="111"/>
      <c r="H18" s="111"/>
      <c r="I18" s="111"/>
      <c r="J18" s="111"/>
      <c r="K18" s="111"/>
      <c r="L18" s="111"/>
      <c r="M18" s="111"/>
      <c r="N18" s="111"/>
      <c r="O18" s="111"/>
      <c r="P18" s="111"/>
    </row>
    <row r="19" spans="1:16" ht="33" customHeight="1" thickTop="1" thickBot="1" x14ac:dyDescent="0.3">
      <c r="A19" s="109" t="s">
        <v>237</v>
      </c>
      <c r="B19" s="110"/>
      <c r="C19" s="110"/>
      <c r="D19" s="113">
        <v>100000</v>
      </c>
      <c r="E19" s="113"/>
      <c r="F19" s="113"/>
      <c r="G19" s="113"/>
      <c r="H19" s="113"/>
      <c r="I19" s="113"/>
      <c r="J19" s="113"/>
      <c r="K19" s="113"/>
      <c r="L19" s="113"/>
      <c r="M19" s="113"/>
      <c r="N19" s="113"/>
      <c r="O19" s="113"/>
      <c r="P19" s="113">
        <v>100000</v>
      </c>
    </row>
    <row r="20" spans="1:16" ht="33" customHeight="1" thickTop="1" thickBot="1" x14ac:dyDescent="0.3">
      <c r="A20" s="109" t="s">
        <v>246</v>
      </c>
      <c r="B20" s="110">
        <f>106790+824622</f>
        <v>931412</v>
      </c>
      <c r="C20" s="110">
        <v>1096714.32</v>
      </c>
      <c r="D20" s="111">
        <v>1223000.5806641059</v>
      </c>
      <c r="E20" s="111">
        <v>101006.27894003107</v>
      </c>
      <c r="F20" s="111">
        <v>101006.27894003107</v>
      </c>
      <c r="G20" s="111">
        <v>101006.27894003107</v>
      </c>
      <c r="H20" s="111">
        <v>101006.27894003107</v>
      </c>
      <c r="I20" s="111">
        <v>101006.27894003107</v>
      </c>
      <c r="J20" s="111">
        <v>101006.27894003107</v>
      </c>
      <c r="K20" s="111">
        <v>101006.27894003107</v>
      </c>
      <c r="L20" s="111">
        <v>101006.27894003107</v>
      </c>
      <c r="M20" s="111">
        <v>103732.7144399643</v>
      </c>
      <c r="N20" s="111">
        <v>103739.21156796429</v>
      </c>
      <c r="O20" s="111">
        <v>103739.21156796429</v>
      </c>
      <c r="P20" s="111">
        <v>103739.21156796429</v>
      </c>
    </row>
    <row r="21" spans="1:16" ht="33" customHeight="1" thickTop="1" thickBot="1" x14ac:dyDescent="0.3">
      <c r="A21" s="109" t="s">
        <v>205</v>
      </c>
      <c r="B21" s="110">
        <f>543189+2152709</f>
        <v>2695898</v>
      </c>
      <c r="C21" s="110">
        <v>3848528.51</v>
      </c>
      <c r="D21" s="111">
        <v>4419376.3427279172</v>
      </c>
      <c r="E21" s="111">
        <v>365420.15101274586</v>
      </c>
      <c r="F21" s="111">
        <v>365420.15101274586</v>
      </c>
      <c r="G21" s="111">
        <v>365420.15101274586</v>
      </c>
      <c r="H21" s="111">
        <v>365420.15101274586</v>
      </c>
      <c r="I21" s="111">
        <v>365420.15101274586</v>
      </c>
      <c r="J21" s="111">
        <v>365420.15101274586</v>
      </c>
      <c r="K21" s="111">
        <v>365420.15101274586</v>
      </c>
      <c r="L21" s="111">
        <v>365420.15101274586</v>
      </c>
      <c r="M21" s="111">
        <v>373932.30716848752</v>
      </c>
      <c r="N21" s="111">
        <v>374027.60915248748</v>
      </c>
      <c r="O21" s="111">
        <v>374027.60915248748</v>
      </c>
      <c r="P21" s="111">
        <v>374027.60915248748</v>
      </c>
    </row>
    <row r="22" spans="1:16" ht="33" customHeight="1" thickTop="1" thickBot="1" x14ac:dyDescent="0.3">
      <c r="A22" s="109" t="s">
        <v>244</v>
      </c>
      <c r="B22" s="110">
        <f>12298551+6994</f>
        <v>12305545</v>
      </c>
      <c r="C22" s="110">
        <v>19659978.879999999</v>
      </c>
      <c r="D22" s="111">
        <v>18539378.186769459</v>
      </c>
      <c r="E22" s="111">
        <v>1531268.0433557783</v>
      </c>
      <c r="F22" s="111">
        <v>1548979.0510557785</v>
      </c>
      <c r="G22" s="111">
        <v>1532488.4970557785</v>
      </c>
      <c r="H22" s="111">
        <v>1529979.0510557785</v>
      </c>
      <c r="I22" s="111">
        <v>1529979.0510557785</v>
      </c>
      <c r="J22" s="111">
        <v>1549957.8812557785</v>
      </c>
      <c r="K22" s="111">
        <v>1532912.0840290263</v>
      </c>
      <c r="L22" s="111">
        <v>1530054.4910290262</v>
      </c>
      <c r="M22" s="111">
        <v>1563153.4227291835</v>
      </c>
      <c r="N22" s="111">
        <v>1563535.5380491833</v>
      </c>
      <c r="O22" s="111">
        <v>1563535.5380491833</v>
      </c>
      <c r="P22" s="111">
        <v>1563535.5380491833</v>
      </c>
    </row>
    <row r="23" spans="1:16" ht="15.75" thickTop="1" x14ac:dyDescent="0.25"/>
  </sheetData>
  <mergeCells count="30">
    <mergeCell ref="O15:O16"/>
    <mergeCell ref="P15:P16"/>
    <mergeCell ref="I15:I16"/>
    <mergeCell ref="J15:J16"/>
    <mergeCell ref="K15:K16"/>
    <mergeCell ref="L15:L16"/>
    <mergeCell ref="M15:M16"/>
    <mergeCell ref="N15:N16"/>
    <mergeCell ref="L2:L3"/>
    <mergeCell ref="M2:M3"/>
    <mergeCell ref="N2:N3"/>
    <mergeCell ref="O2:O3"/>
    <mergeCell ref="P2:P3"/>
    <mergeCell ref="D15:D16"/>
    <mergeCell ref="E15:E16"/>
    <mergeCell ref="F15:F16"/>
    <mergeCell ref="G15:G16"/>
    <mergeCell ref="H15:H16"/>
    <mergeCell ref="K2:K3"/>
    <mergeCell ref="B1:D1"/>
    <mergeCell ref="A2:A3"/>
    <mergeCell ref="B2:B3"/>
    <mergeCell ref="C2:C3"/>
    <mergeCell ref="D2:D3"/>
    <mergeCell ref="E2:E3"/>
    <mergeCell ref="F2:F3"/>
    <mergeCell ref="G2:G3"/>
    <mergeCell ref="H2:H3"/>
    <mergeCell ref="I2:I3"/>
    <mergeCell ref="J2:J3"/>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3</vt:i4>
      </vt:variant>
    </vt:vector>
  </HeadingPairs>
  <TitlesOfParts>
    <vt:vector size="10" baseType="lpstr">
      <vt:lpstr>PLANEJADO</vt:lpstr>
      <vt:lpstr>REALIZADO</vt:lpstr>
      <vt:lpstr>ÍNDICE</vt:lpstr>
      <vt:lpstr>NOTAS EXPLICATIVAS</vt:lpstr>
      <vt:lpstr>Plan2</vt:lpstr>
      <vt:lpstr>Planilha1</vt:lpstr>
      <vt:lpstr>Planilha2</vt:lpstr>
      <vt:lpstr>ÍNDICE!Area_de_impressao</vt:lpstr>
      <vt:lpstr>PLANEJADO!Titulos_de_impressao</vt:lpstr>
      <vt:lpstr>REALIZADO!Titulos_de_impressao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Debora Barsanulfo</dc:creator>
  <cp:keywords/>
  <dc:description/>
  <cp:lastModifiedBy>Murilo Lopes Figueiredo</cp:lastModifiedBy>
  <cp:revision/>
  <dcterms:created xsi:type="dcterms:W3CDTF">2015-02-25T13:03:36Z</dcterms:created>
  <dcterms:modified xsi:type="dcterms:W3CDTF">2022-01-31T17:29:36Z</dcterms:modified>
  <cp:category/>
  <cp:contentStatus/>
</cp:coreProperties>
</file>