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37.1.1\gfin\Portal Transparência\NOVO RELATORIO\2021\"/>
    </mc:Choice>
  </mc:AlternateContent>
  <xr:revisionPtr revIDLastSave="0" documentId="13_ncr:1_{2C137C80-2F86-4D1E-9E0E-889CA9B301AB}" xr6:coauthVersionLast="47" xr6:coauthVersionMax="47" xr10:uidLastSave="{00000000-0000-0000-0000-000000000000}"/>
  <bookViews>
    <workbookView xWindow="-120" yWindow="-120" windowWidth="20730" windowHeight="11160" xr2:uid="{BD1B61D3-34C0-48BC-BC49-737FD0E3D34A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4" i="1" l="1"/>
  <c r="H122" i="1" l="1"/>
  <c r="H120" i="1"/>
  <c r="H119" i="1"/>
  <c r="H114" i="1"/>
  <c r="H110" i="1"/>
  <c r="H109" i="1"/>
  <c r="H103" i="1"/>
  <c r="H98" i="1"/>
  <c r="H93" i="1"/>
  <c r="H84" i="1"/>
  <c r="H79" i="1"/>
  <c r="H74" i="1"/>
  <c r="H64" i="1"/>
  <c r="H59" i="1"/>
  <c r="H54" i="1"/>
  <c r="H49" i="1"/>
  <c r="H44" i="1"/>
  <c r="H39" i="1"/>
  <c r="H33" i="1"/>
  <c r="H30" i="1"/>
  <c r="H29" i="1"/>
  <c r="H24" i="1"/>
  <c r="G14" i="1" l="1"/>
  <c r="G120" i="1"/>
  <c r="G119" i="1"/>
  <c r="G115" i="1"/>
  <c r="G110" i="1"/>
  <c r="G109" i="1"/>
  <c r="G103" i="1"/>
  <c r="G84" i="1"/>
  <c r="G93" i="1"/>
  <c r="G76" i="1"/>
  <c r="G74" i="1"/>
  <c r="G64" i="1"/>
  <c r="G61" i="1"/>
  <c r="G59" i="1"/>
  <c r="G54" i="1"/>
  <c r="G49" i="1"/>
  <c r="G44" i="1"/>
  <c r="G39" i="1"/>
  <c r="G33" i="1"/>
  <c r="G30" i="1"/>
  <c r="G29" i="1"/>
  <c r="G24" i="1"/>
  <c r="F15" i="1" l="1"/>
  <c r="F20" i="1"/>
  <c r="E4" i="1"/>
  <c r="F14" i="1"/>
  <c r="F19" i="1"/>
  <c r="F13" i="1" l="1"/>
  <c r="F119" i="1" l="1"/>
  <c r="F120" i="1"/>
  <c r="F115" i="1"/>
  <c r="F109" i="1"/>
  <c r="F110" i="1"/>
  <c r="F102" i="1"/>
  <c r="F103" i="1"/>
  <c r="F84" i="1"/>
  <c r="F93" i="1"/>
  <c r="F79" i="1"/>
  <c r="F74" i="1"/>
  <c r="F69" i="1"/>
  <c r="F64" i="1"/>
  <c r="F59" i="1"/>
  <c r="F54" i="1"/>
  <c r="F49" i="1"/>
  <c r="F44" i="1"/>
  <c r="F39" i="1"/>
  <c r="E120" i="1"/>
  <c r="E119" i="1"/>
  <c r="E110" i="1"/>
  <c r="E103" i="1"/>
  <c r="E84" i="1"/>
  <c r="E79" i="1"/>
  <c r="E74" i="1"/>
  <c r="E69" i="1"/>
  <c r="E64" i="1"/>
  <c r="E59" i="1"/>
  <c r="E54" i="1"/>
  <c r="E49" i="1"/>
  <c r="E44" i="1"/>
  <c r="E39" i="1"/>
  <c r="D14" i="1"/>
  <c r="D13" i="1"/>
  <c r="D120" i="1" l="1"/>
  <c r="D113" i="1"/>
  <c r="E113" i="1"/>
  <c r="F113" i="1"/>
  <c r="G113" i="1"/>
  <c r="H113" i="1"/>
  <c r="C113" i="1"/>
  <c r="D118" i="1" l="1"/>
  <c r="D110" i="1" l="1"/>
  <c r="D109" i="1"/>
  <c r="D103" i="1"/>
  <c r="D93" i="1"/>
  <c r="D84" i="1"/>
  <c r="D79" i="1"/>
  <c r="D74" i="1"/>
  <c r="D69" i="1"/>
  <c r="D64" i="1"/>
  <c r="D59" i="1"/>
  <c r="D54" i="1"/>
  <c r="D49" i="1"/>
  <c r="D44" i="1"/>
  <c r="D39" i="1"/>
  <c r="D23" i="1"/>
  <c r="C14" i="1" l="1"/>
  <c r="C13" i="1"/>
  <c r="C120" i="1"/>
  <c r="C118" i="1" s="1"/>
  <c r="C110" i="1"/>
  <c r="C103" i="1"/>
  <c r="C93" i="1"/>
  <c r="C84" i="1"/>
  <c r="C79" i="1"/>
  <c r="C77" i="1" s="1"/>
  <c r="C74" i="1"/>
  <c r="C72" i="1"/>
  <c r="D77" i="1"/>
  <c r="E77" i="1"/>
  <c r="F77" i="1"/>
  <c r="G77" i="1"/>
  <c r="H77" i="1"/>
  <c r="C69" i="1"/>
  <c r="C64" i="1"/>
  <c r="C59" i="1"/>
  <c r="C57" i="1" s="1"/>
  <c r="C54" i="1"/>
  <c r="C49" i="1"/>
  <c r="C44" i="1"/>
  <c r="C39" i="1"/>
  <c r="H67" i="1" l="1"/>
  <c r="H42" i="1"/>
  <c r="F67" i="1" l="1"/>
  <c r="G67" i="1"/>
  <c r="E67" i="1"/>
  <c r="D67" i="1"/>
  <c r="C67" i="1"/>
  <c r="C87" i="1" l="1"/>
  <c r="C62" i="1"/>
  <c r="C52" i="1"/>
  <c r="C47" i="1"/>
  <c r="C42" i="1"/>
  <c r="C37" i="1"/>
  <c r="F118" i="1"/>
  <c r="G118" i="1"/>
  <c r="H118" i="1"/>
  <c r="F107" i="1"/>
  <c r="G107" i="1"/>
  <c r="H107" i="1"/>
  <c r="F100" i="1"/>
  <c r="G100" i="1"/>
  <c r="H100" i="1"/>
  <c r="F96" i="1"/>
  <c r="G96" i="1"/>
  <c r="H96" i="1"/>
  <c r="F91" i="1"/>
  <c r="G91" i="1"/>
  <c r="H91" i="1"/>
  <c r="F87" i="1"/>
  <c r="G87" i="1"/>
  <c r="H87" i="1"/>
  <c r="F82" i="1"/>
  <c r="G82" i="1"/>
  <c r="H82" i="1"/>
  <c r="F72" i="1"/>
  <c r="G72" i="1"/>
  <c r="H72" i="1"/>
  <c r="F62" i="1"/>
  <c r="G62" i="1"/>
  <c r="H62" i="1"/>
  <c r="F57" i="1"/>
  <c r="G57" i="1"/>
  <c r="H57" i="1"/>
  <c r="F52" i="1"/>
  <c r="G52" i="1"/>
  <c r="H52" i="1"/>
  <c r="F47" i="1"/>
  <c r="G47" i="1"/>
  <c r="H47" i="1"/>
  <c r="F42" i="1"/>
  <c r="G42" i="1"/>
  <c r="F37" i="1"/>
  <c r="G37" i="1"/>
  <c r="H37" i="1"/>
  <c r="E100" i="1"/>
  <c r="E96" i="1"/>
  <c r="E91" i="1"/>
  <c r="E87" i="1"/>
  <c r="H36" i="1" l="1"/>
  <c r="G36" i="1"/>
  <c r="F36" i="1"/>
  <c r="D87" i="1" l="1"/>
  <c r="D96" i="1"/>
  <c r="D100" i="1"/>
  <c r="E118" i="1" l="1"/>
  <c r="E107" i="1"/>
  <c r="D107" i="1"/>
  <c r="C107" i="1"/>
  <c r="C100" i="1"/>
  <c r="C96" i="1"/>
  <c r="D91" i="1"/>
  <c r="C91" i="1"/>
  <c r="E82" i="1"/>
  <c r="D82" i="1"/>
  <c r="C82" i="1"/>
  <c r="E72" i="1"/>
  <c r="D72" i="1"/>
  <c r="E62" i="1"/>
  <c r="D62" i="1"/>
  <c r="E57" i="1"/>
  <c r="D57" i="1"/>
  <c r="E52" i="1"/>
  <c r="D52" i="1"/>
  <c r="E47" i="1"/>
  <c r="D47" i="1"/>
  <c r="E42" i="1"/>
  <c r="D42" i="1"/>
  <c r="E37" i="1"/>
  <c r="D37" i="1"/>
  <c r="E36" i="1" l="1"/>
  <c r="D36" i="1"/>
  <c r="C36" i="1"/>
</calcChain>
</file>

<file path=xl/sharedStrings.xml><?xml version="1.0" encoding="utf-8"?>
<sst xmlns="http://schemas.openxmlformats.org/spreadsheetml/2006/main" count="254" uniqueCount="163">
  <si>
    <t>Previsão de Receita</t>
  </si>
  <si>
    <t>Tesouro</t>
  </si>
  <si>
    <t>PROTEGE</t>
  </si>
  <si>
    <t>Pessoal e encargos</t>
  </si>
  <si>
    <t>Investimento Tesouro</t>
  </si>
  <si>
    <t>Investimento PROTEGE</t>
  </si>
  <si>
    <t>Saldo em disponibilidade</t>
  </si>
  <si>
    <t>Provisão de Rescisão</t>
  </si>
  <si>
    <t>Repasses recebidos</t>
  </si>
  <si>
    <t>Outras entradas</t>
  </si>
  <si>
    <t>Rendimento de Aplicação - Tesouro</t>
  </si>
  <si>
    <t>Rendimento de Aplicação - PROTEGE</t>
  </si>
  <si>
    <t>Despesas Pagas e Investimentos</t>
  </si>
  <si>
    <t>CENTRO DE IDOSOS SAGRADA FAMÍLIA - CISF</t>
  </si>
  <si>
    <t>Pessoal e Encargos</t>
  </si>
  <si>
    <t>Despesas Correntes</t>
  </si>
  <si>
    <t>Investimento</t>
  </si>
  <si>
    <t xml:space="preserve">CENTRO DE IDOSOS VILA VIDA - CIVV </t>
  </si>
  <si>
    <t>ESPAÇO BEM VIVER l - CM</t>
  </si>
  <si>
    <t>ESPAÇO BEM VIVER ll - NF</t>
  </si>
  <si>
    <t>CENTRO DE ADOLESCENTES TECENDO O FUTURO - CATF</t>
  </si>
  <si>
    <t>CENTRO SOCIAL DONA GERCINA BORGES - CSDGB</t>
  </si>
  <si>
    <t>CASA DO INTERIOR DE GOIÁS - CIGO</t>
  </si>
  <si>
    <t>CENTRO DE APOIO AOS ROMEIROS</t>
  </si>
  <si>
    <t>GERÊNCIA DE GESTÃO SOCIAL E AVALIAÇÃO</t>
  </si>
  <si>
    <t>NATAL DO BEM</t>
  </si>
  <si>
    <t>RESTAURANTE DO BEM</t>
  </si>
  <si>
    <t>Despesas com refeições</t>
  </si>
  <si>
    <t>Despesas com Aluguel dos Restaurantes</t>
  </si>
  <si>
    <t>BOLSA UNIVERSITÁRIA</t>
  </si>
  <si>
    <t>Despesas com auxílio estudantil</t>
  </si>
  <si>
    <t>APOIO ADMINISTRATIVO</t>
  </si>
  <si>
    <t>1 -</t>
  </si>
  <si>
    <t>1.1</t>
  </si>
  <si>
    <t>3.3</t>
  </si>
  <si>
    <t>1.2</t>
  </si>
  <si>
    <t>1.3</t>
  </si>
  <si>
    <t>1.4</t>
  </si>
  <si>
    <t>1.5</t>
  </si>
  <si>
    <t>2 -</t>
  </si>
  <si>
    <t>2.1</t>
  </si>
  <si>
    <t>2.2</t>
  </si>
  <si>
    <t>2.3</t>
  </si>
  <si>
    <t>3 -</t>
  </si>
  <si>
    <t>3.1</t>
  </si>
  <si>
    <t>3.2</t>
  </si>
  <si>
    <t>4 -</t>
  </si>
  <si>
    <t>4.1</t>
  </si>
  <si>
    <t>4.2</t>
  </si>
  <si>
    <t>4.3</t>
  </si>
  <si>
    <t>4.4</t>
  </si>
  <si>
    <t xml:space="preserve">Rendimento de Aplicação -
 Provisão de Rescisões </t>
  </si>
  <si>
    <t>5.9.2</t>
  </si>
  <si>
    <t>5.11.1</t>
  </si>
  <si>
    <t>5 -</t>
  </si>
  <si>
    <t>5.1</t>
  </si>
  <si>
    <t>5.1.1</t>
  </si>
  <si>
    <t>5.1.2</t>
  </si>
  <si>
    <t>5.1.3</t>
  </si>
  <si>
    <t>5.1.4</t>
  </si>
  <si>
    <t>5.2</t>
  </si>
  <si>
    <t>5.2.1</t>
  </si>
  <si>
    <t>5.2.2</t>
  </si>
  <si>
    <t>5.2.3</t>
  </si>
  <si>
    <t>5.2.4</t>
  </si>
  <si>
    <t>5.3</t>
  </si>
  <si>
    <t>5.3.1</t>
  </si>
  <si>
    <t>5.3.2</t>
  </si>
  <si>
    <t>5.3.3</t>
  </si>
  <si>
    <t>5.3.4</t>
  </si>
  <si>
    <t>5.4</t>
  </si>
  <si>
    <t>5.4.1</t>
  </si>
  <si>
    <t>5.4.2</t>
  </si>
  <si>
    <t>5.4.3</t>
  </si>
  <si>
    <t>5.4.4</t>
  </si>
  <si>
    <t>5.5</t>
  </si>
  <si>
    <t>5.5.1</t>
  </si>
  <si>
    <t>5.5.2</t>
  </si>
  <si>
    <t>5.5.3</t>
  </si>
  <si>
    <t>5.5.4</t>
  </si>
  <si>
    <t>5.6</t>
  </si>
  <si>
    <t>5.6.1</t>
  </si>
  <si>
    <t>5.6.2</t>
  </si>
  <si>
    <t>5.6.3</t>
  </si>
  <si>
    <t>5.6.4</t>
  </si>
  <si>
    <t>5.7</t>
  </si>
  <si>
    <t>5.7.1</t>
  </si>
  <si>
    <t>5.7.2</t>
  </si>
  <si>
    <t>5.7.3</t>
  </si>
  <si>
    <t>5.7.4</t>
  </si>
  <si>
    <t>5.8</t>
  </si>
  <si>
    <t>5.8.1</t>
  </si>
  <si>
    <t>5.8.2</t>
  </si>
  <si>
    <t>5.8.3</t>
  </si>
  <si>
    <t>5.8.4</t>
  </si>
  <si>
    <t>5.9</t>
  </si>
  <si>
    <t>5.9.1</t>
  </si>
  <si>
    <t>5.9.3</t>
  </si>
  <si>
    <t>5.10</t>
  </si>
  <si>
    <t>5.10.1</t>
  </si>
  <si>
    <t>5.10.2</t>
  </si>
  <si>
    <t>5.10.3</t>
  </si>
  <si>
    <t>5.10.4</t>
  </si>
  <si>
    <t>5.11</t>
  </si>
  <si>
    <t>5.11.2</t>
  </si>
  <si>
    <t>5.11.3</t>
  </si>
  <si>
    <t>5.12</t>
  </si>
  <si>
    <t>5.12.1</t>
  </si>
  <si>
    <t>5.12.2</t>
  </si>
  <si>
    <t>5.12.3</t>
  </si>
  <si>
    <t>5.13</t>
  </si>
  <si>
    <t>5.13.1</t>
  </si>
  <si>
    <t>5.13.2</t>
  </si>
  <si>
    <t>5.13.3</t>
  </si>
  <si>
    <t>5.14</t>
  </si>
  <si>
    <t>5.14.1</t>
  </si>
  <si>
    <t>5.14.2</t>
  </si>
  <si>
    <t>5.14.3</t>
  </si>
  <si>
    <t>5.14.4</t>
  </si>
  <si>
    <t>GERÊNCIA DE ENFRENTAMENTO ÁS DESPROTEÇÕES SOCIAIS - GEDS</t>
  </si>
  <si>
    <t>5.15</t>
  </si>
  <si>
    <t>5.14.5</t>
  </si>
  <si>
    <t>5.15.1</t>
  </si>
  <si>
    <t>5.15.2</t>
  </si>
  <si>
    <t>5.15.3</t>
  </si>
  <si>
    <t>5.15.4</t>
  </si>
  <si>
    <t>Rescisões</t>
  </si>
  <si>
    <t>2.4</t>
  </si>
  <si>
    <t>2.5</t>
  </si>
  <si>
    <t>2.6</t>
  </si>
  <si>
    <t>Julho</t>
  </si>
  <si>
    <t>Agosto</t>
  </si>
  <si>
    <t>Setembro</t>
  </si>
  <si>
    <t>Outubro</t>
  </si>
  <si>
    <t>Novembro</t>
  </si>
  <si>
    <t>Dezembro</t>
  </si>
  <si>
    <t>GERÊNCIA DE BENEFÍCIOS SOCIAIS - GBS</t>
  </si>
  <si>
    <t>GERÊNCIA DE PROMOÇÃO DO VOLUNTÁRIADO - GPV</t>
  </si>
  <si>
    <t>5.9.4</t>
  </si>
  <si>
    <t>5.12.4</t>
  </si>
  <si>
    <t>5.14.6</t>
  </si>
  <si>
    <t>5.15.5</t>
  </si>
  <si>
    <t>5.16</t>
  </si>
  <si>
    <t>5.16.1</t>
  </si>
  <si>
    <t>5.16.2</t>
  </si>
  <si>
    <t>5.16.3</t>
  </si>
  <si>
    <t>5.16.4</t>
  </si>
  <si>
    <t>PROGRAMA BANCO DE ALIMENTOS - BA</t>
  </si>
  <si>
    <t>5.17</t>
  </si>
  <si>
    <t>5.17.1</t>
  </si>
  <si>
    <t>5.17.2</t>
  </si>
  <si>
    <t>5.17.3</t>
  </si>
  <si>
    <t>5.17.4</t>
  </si>
  <si>
    <t>1.6</t>
  </si>
  <si>
    <t>PRODUZIR</t>
  </si>
  <si>
    <t>1.7</t>
  </si>
  <si>
    <t>Investimento PRODUZIR</t>
  </si>
  <si>
    <t>Recuperação de Despesa</t>
  </si>
  <si>
    <t>3.4</t>
  </si>
  <si>
    <t>Rendimento de Aplicação - PRODUZIR</t>
  </si>
  <si>
    <t>4.5</t>
  </si>
  <si>
    <t>2.7</t>
  </si>
  <si>
    <t>2.8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</si>
</sst>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&quot;R$&quot;\ 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1" xfId="0" applyFont="1" applyBorder="1"/>
    <xf numFmtId="0" fontId="2" fillId="2" borderId="1" xfId="0" applyFont="1" applyFill="1" applyBorder="1"/>
    <xf numFmtId="44" fontId="0" fillId="0" borderId="1" xfId="1" applyFont="1" applyBorder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wrapText="1"/>
    </xf>
    <xf numFmtId="44" fontId="6" fillId="2" borderId="1" xfId="1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44" fontId="8" fillId="0" borderId="1" xfId="1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44" fontId="3" fillId="0" borderId="1" xfId="1" applyFont="1" applyFill="1" applyBorder="1" applyAlignment="1">
      <alignment wrapText="1"/>
    </xf>
    <xf numFmtId="44" fontId="3" fillId="3" borderId="1" xfId="1" applyFont="1" applyFill="1" applyBorder="1" applyAlignment="1">
      <alignment wrapText="1"/>
    </xf>
    <xf numFmtId="44" fontId="3" fillId="0" borderId="1" xfId="1" applyFont="1" applyBorder="1" applyAlignment="1">
      <alignment wrapText="1"/>
    </xf>
    <xf numFmtId="44" fontId="9" fillId="0" borderId="1" xfId="1" applyFont="1" applyFill="1" applyBorder="1" applyAlignment="1">
      <alignment wrapText="1"/>
    </xf>
    <xf numFmtId="44" fontId="9" fillId="0" borderId="1" xfId="1" applyFont="1" applyBorder="1" applyAlignment="1">
      <alignment wrapText="1"/>
    </xf>
    <xf numFmtId="44" fontId="9" fillId="3" borderId="1" xfId="1" applyFont="1" applyFill="1" applyBorder="1" applyAlignment="1">
      <alignment wrapText="1"/>
    </xf>
    <xf numFmtId="44" fontId="3" fillId="0" borderId="1" xfId="1" applyFont="1" applyBorder="1" applyAlignment="1">
      <alignment horizontal="center" vertical="center" wrapText="1"/>
    </xf>
    <xf numFmtId="44" fontId="3" fillId="3" borderId="1" xfId="1" applyFont="1" applyFill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10" fillId="0" borderId="3" xfId="0" applyFont="1" applyFill="1" applyBorder="1"/>
    <xf numFmtId="44" fontId="1" fillId="0" borderId="1" xfId="1" applyFont="1" applyBorder="1"/>
    <xf numFmtId="44" fontId="0" fillId="0" borderId="3" xfId="1" applyFont="1" applyFill="1" applyBorder="1"/>
    <xf numFmtId="44" fontId="1" fillId="3" borderId="1" xfId="1" applyFont="1" applyFill="1" applyBorder="1"/>
    <xf numFmtId="44" fontId="6" fillId="0" borderId="1" xfId="1" applyFont="1" applyBorder="1" applyAlignment="1">
      <alignment wrapText="1"/>
    </xf>
    <xf numFmtId="44" fontId="3" fillId="0" borderId="3" xfId="1" applyFont="1" applyFill="1" applyBorder="1" applyAlignment="1">
      <alignment wrapText="1"/>
    </xf>
    <xf numFmtId="44" fontId="0" fillId="0" borderId="0" xfId="0" applyNumberFormat="1"/>
    <xf numFmtId="164" fontId="0" fillId="0" borderId="0" xfId="0" applyNumberFormat="1"/>
    <xf numFmtId="44" fontId="3" fillId="0" borderId="1" xfId="1" applyFont="1" applyFill="1" applyBorder="1" applyAlignment="1">
      <alignment vertical="center" wrapText="1"/>
    </xf>
    <xf numFmtId="44" fontId="9" fillId="0" borderId="1" xfId="1" applyFont="1" applyFill="1" applyBorder="1" applyAlignment="1">
      <alignment vertical="center" wrapText="1"/>
    </xf>
    <xf numFmtId="44" fontId="3" fillId="0" borderId="1" xfId="1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05ACD-8728-468A-9E4E-3BDA6A2E6F23}">
  <dimension ref="A1:H122"/>
  <sheetViews>
    <sheetView tabSelected="1" view="pageLayout" zoomScaleNormal="100" workbookViewId="0">
      <selection activeCell="H6" sqref="H6"/>
    </sheetView>
  </sheetViews>
  <sheetFormatPr defaultRowHeight="15" x14ac:dyDescent="0.25"/>
  <cols>
    <col min="1" max="1" width="6.42578125" customWidth="1"/>
    <col min="2" max="2" width="21" customWidth="1"/>
    <col min="3" max="7" width="19.28515625" customWidth="1"/>
    <col min="8" max="8" width="17.7109375" bestFit="1" customWidth="1"/>
  </cols>
  <sheetData>
    <row r="1" spans="1:8" ht="27.75" customHeight="1" x14ac:dyDescent="0.25">
      <c r="A1" s="36">
        <v>2021</v>
      </c>
      <c r="B1" s="36"/>
      <c r="C1" s="36"/>
      <c r="D1" s="36"/>
      <c r="E1" s="36"/>
      <c r="F1" s="36"/>
      <c r="G1" s="36"/>
      <c r="H1" s="36"/>
    </row>
    <row r="2" spans="1:8" ht="24.75" customHeight="1" x14ac:dyDescent="0.25">
      <c r="A2" s="23" t="s">
        <v>32</v>
      </c>
      <c r="B2" s="22" t="s">
        <v>0</v>
      </c>
      <c r="C2" s="22" t="s">
        <v>130</v>
      </c>
      <c r="D2" s="22" t="s">
        <v>131</v>
      </c>
      <c r="E2" s="22" t="s">
        <v>132</v>
      </c>
      <c r="F2" s="22" t="s">
        <v>133</v>
      </c>
      <c r="G2" s="22" t="s">
        <v>134</v>
      </c>
      <c r="H2" s="22" t="s">
        <v>135</v>
      </c>
    </row>
    <row r="3" spans="1:8" x14ac:dyDescent="0.25">
      <c r="A3" s="1" t="s">
        <v>33</v>
      </c>
      <c r="B3" s="1" t="s">
        <v>1</v>
      </c>
      <c r="C3" s="3">
        <v>948476.88</v>
      </c>
      <c r="D3" s="3">
        <v>3257092.09</v>
      </c>
      <c r="E3" s="3">
        <v>4392252.79</v>
      </c>
      <c r="F3" s="3">
        <v>4499210.6100000003</v>
      </c>
      <c r="G3" s="3">
        <v>5803963.4100000001</v>
      </c>
      <c r="H3" s="3">
        <v>1143262.7</v>
      </c>
    </row>
    <row r="4" spans="1:8" x14ac:dyDescent="0.25">
      <c r="A4" s="1" t="s">
        <v>35</v>
      </c>
      <c r="B4" s="1" t="s">
        <v>2</v>
      </c>
      <c r="C4" s="3">
        <v>12703033.98</v>
      </c>
      <c r="D4" s="3">
        <v>11908290.68</v>
      </c>
      <c r="E4" s="3">
        <f>12013241.5-10.45</f>
        <v>12013231.050000001</v>
      </c>
      <c r="F4" s="3">
        <v>11898047.793</v>
      </c>
      <c r="G4" s="3">
        <v>11606977.529999999</v>
      </c>
      <c r="H4" s="3">
        <v>11734517.16</v>
      </c>
    </row>
    <row r="5" spans="1:8" x14ac:dyDescent="0.25">
      <c r="A5" s="1" t="s">
        <v>36</v>
      </c>
      <c r="B5" s="1" t="s">
        <v>3</v>
      </c>
      <c r="C5" s="3">
        <v>3502786.49</v>
      </c>
      <c r="D5" s="3">
        <v>3512786.51</v>
      </c>
      <c r="E5" s="3">
        <v>3502786.52</v>
      </c>
      <c r="F5" s="3">
        <v>3502786.52</v>
      </c>
      <c r="G5" s="3">
        <v>3776161.06</v>
      </c>
      <c r="H5" s="3">
        <v>3670136.33</v>
      </c>
    </row>
    <row r="6" spans="1:8" x14ac:dyDescent="0.25">
      <c r="A6" s="1" t="s">
        <v>37</v>
      </c>
      <c r="B6" s="1" t="s">
        <v>4</v>
      </c>
      <c r="C6" s="3">
        <v>1385124.7</v>
      </c>
      <c r="D6" s="3">
        <v>611887.1</v>
      </c>
      <c r="E6" s="3">
        <v>418358.86</v>
      </c>
      <c r="F6" s="3">
        <v>848848.67</v>
      </c>
      <c r="G6" s="3">
        <v>769048.67</v>
      </c>
      <c r="H6" s="3">
        <v>727742.07</v>
      </c>
    </row>
    <row r="7" spans="1:8" x14ac:dyDescent="0.25">
      <c r="A7" s="1" t="s">
        <v>38</v>
      </c>
      <c r="B7" s="1" t="s">
        <v>5</v>
      </c>
      <c r="C7" s="3">
        <v>925453.08</v>
      </c>
      <c r="D7" s="3">
        <v>365519.6</v>
      </c>
      <c r="E7" s="3">
        <v>432731.26</v>
      </c>
      <c r="F7" s="3">
        <v>600151</v>
      </c>
      <c r="G7" s="3">
        <v>558468</v>
      </c>
      <c r="H7" s="3">
        <v>30000</v>
      </c>
    </row>
    <row r="8" spans="1:8" x14ac:dyDescent="0.25">
      <c r="A8" s="1" t="s">
        <v>153</v>
      </c>
      <c r="B8" s="1" t="s">
        <v>154</v>
      </c>
      <c r="C8" s="3">
        <v>453041.67</v>
      </c>
      <c r="D8" s="3">
        <v>548708.32999999996</v>
      </c>
      <c r="E8" s="3">
        <v>501208.33</v>
      </c>
      <c r="F8" s="3">
        <v>501208.33</v>
      </c>
      <c r="G8" s="3">
        <v>501208.33</v>
      </c>
      <c r="H8" s="3">
        <v>744422.62</v>
      </c>
    </row>
    <row r="9" spans="1:8" x14ac:dyDescent="0.25">
      <c r="A9" s="1" t="s">
        <v>155</v>
      </c>
      <c r="B9" s="1" t="s">
        <v>156</v>
      </c>
      <c r="C9" s="3">
        <v>23333.33</v>
      </c>
      <c r="D9" s="3">
        <v>83000.009999999995</v>
      </c>
      <c r="E9" s="3">
        <v>100500</v>
      </c>
      <c r="F9" s="3">
        <v>100500</v>
      </c>
      <c r="G9" s="3">
        <v>100500</v>
      </c>
      <c r="H9" s="3">
        <v>112166.67</v>
      </c>
    </row>
    <row r="12" spans="1:8" ht="22.5" customHeight="1" x14ac:dyDescent="0.25">
      <c r="A12" s="23" t="s">
        <v>39</v>
      </c>
      <c r="B12" s="22" t="s">
        <v>8</v>
      </c>
      <c r="C12" s="22" t="s">
        <v>130</v>
      </c>
      <c r="D12" s="22" t="s">
        <v>131</v>
      </c>
      <c r="E12" s="22" t="s">
        <v>132</v>
      </c>
      <c r="F12" s="22" t="s">
        <v>133</v>
      </c>
      <c r="G12" s="22" t="s">
        <v>134</v>
      </c>
      <c r="H12" s="22" t="s">
        <v>135</v>
      </c>
    </row>
    <row r="13" spans="1:8" x14ac:dyDescent="0.25">
      <c r="A13" s="1" t="s">
        <v>40</v>
      </c>
      <c r="B13" s="1" t="s">
        <v>1</v>
      </c>
      <c r="C13" s="3">
        <f>470798.11-10.45</f>
        <v>470787.66</v>
      </c>
      <c r="D13" s="3">
        <f>697002.84-59.45</f>
        <v>696943.39</v>
      </c>
      <c r="E13" s="3">
        <v>3061558.86</v>
      </c>
      <c r="F13" s="26">
        <f>952832.07+3356769.55-59.45</f>
        <v>4309542.17</v>
      </c>
      <c r="G13" s="3">
        <v>4464660.55</v>
      </c>
      <c r="H13" s="28">
        <v>5729693.8200000003</v>
      </c>
    </row>
    <row r="14" spans="1:8" x14ac:dyDescent="0.25">
      <c r="A14" s="1" t="s">
        <v>41</v>
      </c>
      <c r="B14" s="1" t="s">
        <v>2</v>
      </c>
      <c r="C14" s="3">
        <f>1370624.6+3777389.55+3025957.05</f>
        <v>8173971.2000000002</v>
      </c>
      <c r="D14" s="3">
        <f>1732057.84+6992113.78+2870384.14-10.45</f>
        <v>11594545.310000002</v>
      </c>
      <c r="E14" s="28">
        <v>11015659.84</v>
      </c>
      <c r="F14" s="3">
        <f>1729557.84+6294273.78+3143119</f>
        <v>11166950.620000001</v>
      </c>
      <c r="G14" s="3">
        <f>1724989.55+6293989.55+3015434.52</f>
        <v>11034413.619999999</v>
      </c>
      <c r="H14" s="28">
        <f>1675000+6292323.43+3243804.65</f>
        <v>11211128.08</v>
      </c>
    </row>
    <row r="15" spans="1:8" x14ac:dyDescent="0.25">
      <c r="A15" s="1" t="s">
        <v>42</v>
      </c>
      <c r="B15" s="1" t="s">
        <v>154</v>
      </c>
      <c r="C15" s="3">
        <v>0</v>
      </c>
      <c r="D15" s="3">
        <v>0</v>
      </c>
      <c r="E15" s="28">
        <v>0</v>
      </c>
      <c r="F15" s="3">
        <f>1502958.33-20.9</f>
        <v>1502937.4300000002</v>
      </c>
      <c r="G15" s="3">
        <v>501197.88</v>
      </c>
      <c r="H15" s="28">
        <v>501208.33</v>
      </c>
    </row>
    <row r="16" spans="1:8" x14ac:dyDescent="0.25">
      <c r="A16" s="1" t="s">
        <v>127</v>
      </c>
      <c r="B16" s="1" t="s">
        <v>3</v>
      </c>
      <c r="C16" s="3">
        <v>2763363.09</v>
      </c>
      <c r="D16" s="3">
        <v>2625991.4900000002</v>
      </c>
      <c r="E16" s="3">
        <v>2709869.26</v>
      </c>
      <c r="F16" s="3">
        <v>2626546.86</v>
      </c>
      <c r="G16" s="3">
        <v>2663002.09</v>
      </c>
      <c r="H16" s="28">
        <v>3091533.35</v>
      </c>
    </row>
    <row r="17" spans="1:8" x14ac:dyDescent="0.25">
      <c r="A17" s="1" t="s">
        <v>128</v>
      </c>
      <c r="B17" s="1" t="s">
        <v>7</v>
      </c>
      <c r="C17" s="3">
        <v>82890.759999999995</v>
      </c>
      <c r="D17" s="3">
        <v>78769.61</v>
      </c>
      <c r="E17" s="3">
        <v>81285.94</v>
      </c>
      <c r="F17" s="3">
        <v>78786.27</v>
      </c>
      <c r="G17" s="3">
        <v>79879.929999999993</v>
      </c>
      <c r="H17" s="28">
        <v>92746</v>
      </c>
    </row>
    <row r="18" spans="1:8" x14ac:dyDescent="0.25">
      <c r="A18" s="1" t="s">
        <v>129</v>
      </c>
      <c r="B18" s="1" t="s">
        <v>4</v>
      </c>
      <c r="C18" s="3">
        <v>6730</v>
      </c>
      <c r="D18" s="3">
        <v>1381764.7</v>
      </c>
      <c r="E18" s="3">
        <v>611876.64999999991</v>
      </c>
      <c r="F18" s="3">
        <v>418358.86</v>
      </c>
      <c r="G18" s="3">
        <v>848848.67</v>
      </c>
      <c r="H18" s="28">
        <v>769048.67</v>
      </c>
    </row>
    <row r="19" spans="1:8" x14ac:dyDescent="0.25">
      <c r="A19" s="1" t="s">
        <v>161</v>
      </c>
      <c r="B19" s="1" t="s">
        <v>5</v>
      </c>
      <c r="C19" s="3">
        <v>104400</v>
      </c>
      <c r="D19" s="3">
        <v>925453.08</v>
      </c>
      <c r="E19" s="3">
        <v>452306.54</v>
      </c>
      <c r="F19" s="3">
        <f>432731.26</f>
        <v>432731.26</v>
      </c>
      <c r="G19" s="3">
        <v>744780.84</v>
      </c>
      <c r="H19" s="28">
        <v>558468</v>
      </c>
    </row>
    <row r="20" spans="1:8" x14ac:dyDescent="0.25">
      <c r="A20" s="1" t="s">
        <v>162</v>
      </c>
      <c r="B20" s="1" t="s">
        <v>156</v>
      </c>
      <c r="C20" s="3">
        <v>0</v>
      </c>
      <c r="D20" s="3">
        <v>0</v>
      </c>
      <c r="E20" s="3">
        <v>0</v>
      </c>
      <c r="F20" s="3">
        <f>190166.68+16666.67</f>
        <v>206833.34999999998</v>
      </c>
      <c r="G20" s="3">
        <v>100500</v>
      </c>
      <c r="H20" s="28">
        <v>100499.99</v>
      </c>
    </row>
    <row r="22" spans="1:8" ht="30" x14ac:dyDescent="0.25">
      <c r="A22" s="2" t="s">
        <v>43</v>
      </c>
      <c r="B22" s="24" t="s">
        <v>6</v>
      </c>
      <c r="C22" s="22" t="s">
        <v>130</v>
      </c>
      <c r="D22" s="22" t="s">
        <v>131</v>
      </c>
      <c r="E22" s="22" t="s">
        <v>132</v>
      </c>
      <c r="F22" s="22" t="s">
        <v>133</v>
      </c>
      <c r="G22" s="22" t="s">
        <v>134</v>
      </c>
      <c r="H22" s="22" t="s">
        <v>135</v>
      </c>
    </row>
    <row r="23" spans="1:8" x14ac:dyDescent="0.25">
      <c r="A23" s="1" t="s">
        <v>44</v>
      </c>
      <c r="B23" s="1" t="s">
        <v>1</v>
      </c>
      <c r="C23" s="3">
        <v>21527106.02</v>
      </c>
      <c r="D23" s="3">
        <f>66855.96+21584711.73</f>
        <v>21651567.690000001</v>
      </c>
      <c r="E23" s="3">
        <v>23362936.489999998</v>
      </c>
      <c r="F23" s="3">
        <v>25711979.710000001</v>
      </c>
      <c r="G23" s="3">
        <v>28427762.43</v>
      </c>
      <c r="H23" s="3">
        <v>26255360.300000001</v>
      </c>
    </row>
    <row r="24" spans="1:8" x14ac:dyDescent="0.25">
      <c r="A24" s="1" t="s">
        <v>45</v>
      </c>
      <c r="B24" s="1" t="s">
        <v>2</v>
      </c>
      <c r="C24" s="3">
        <v>14749900.609999999</v>
      </c>
      <c r="D24" s="3">
        <v>16229041.859999999</v>
      </c>
      <c r="E24" s="31">
        <v>23727736.859999999</v>
      </c>
      <c r="F24" s="3">
        <v>25561620.039999999</v>
      </c>
      <c r="G24" s="27">
        <f>4182420.62+7103262.97+17963491.8</f>
        <v>29249175.390000001</v>
      </c>
      <c r="H24" s="3">
        <f>4013932.52+7663073.69+20151319.71</f>
        <v>31828325.920000002</v>
      </c>
    </row>
    <row r="25" spans="1:8" x14ac:dyDescent="0.25">
      <c r="A25" s="1" t="s">
        <v>34</v>
      </c>
      <c r="B25" s="1" t="s">
        <v>7</v>
      </c>
      <c r="C25" s="3">
        <v>1685389.39</v>
      </c>
      <c r="D25" s="3">
        <v>1733572.3</v>
      </c>
      <c r="E25" s="3">
        <v>1681678.97</v>
      </c>
      <c r="F25" s="3">
        <v>1643930.88</v>
      </c>
      <c r="G25" s="3">
        <v>1653893.65</v>
      </c>
      <c r="H25" s="3">
        <v>1282084.96</v>
      </c>
    </row>
    <row r="26" spans="1:8" x14ac:dyDescent="0.25">
      <c r="A26" s="1" t="s">
        <v>158</v>
      </c>
      <c r="B26" s="1" t="s">
        <v>154</v>
      </c>
      <c r="C26" s="3">
        <v>0</v>
      </c>
      <c r="D26" s="3">
        <v>0</v>
      </c>
      <c r="E26" s="3">
        <v>0</v>
      </c>
      <c r="F26" s="3">
        <v>0</v>
      </c>
      <c r="G26" s="3">
        <v>1712808.84</v>
      </c>
      <c r="H26" s="3">
        <v>2323706.8199999998</v>
      </c>
    </row>
    <row r="28" spans="1:8" x14ac:dyDescent="0.25">
      <c r="A28" s="2" t="s">
        <v>46</v>
      </c>
      <c r="B28" s="2" t="s">
        <v>9</v>
      </c>
      <c r="C28" s="2" t="s">
        <v>130</v>
      </c>
      <c r="D28" s="2" t="s">
        <v>131</v>
      </c>
      <c r="E28" s="2" t="s">
        <v>132</v>
      </c>
      <c r="F28" s="2" t="s">
        <v>133</v>
      </c>
      <c r="G28" s="2" t="s">
        <v>134</v>
      </c>
      <c r="H28" s="2" t="s">
        <v>135</v>
      </c>
    </row>
    <row r="29" spans="1:8" ht="28.5" customHeight="1" x14ac:dyDescent="0.25">
      <c r="A29" s="1" t="s">
        <v>47</v>
      </c>
      <c r="B29" s="4" t="s">
        <v>10</v>
      </c>
      <c r="C29" s="3">
        <v>76378.03</v>
      </c>
      <c r="D29" s="3">
        <v>94540.24</v>
      </c>
      <c r="E29" s="3">
        <v>107827.36</v>
      </c>
      <c r="F29" s="26">
        <v>124186.4</v>
      </c>
      <c r="G29" s="26">
        <f>156251.54</f>
        <v>156251.54</v>
      </c>
      <c r="H29" s="3">
        <f>182484.66</f>
        <v>182484.66</v>
      </c>
    </row>
    <row r="30" spans="1:8" ht="28.5" customHeight="1" x14ac:dyDescent="0.25">
      <c r="A30" s="1" t="s">
        <v>48</v>
      </c>
      <c r="B30" s="4" t="s">
        <v>11</v>
      </c>
      <c r="C30" s="3">
        <v>50362.75</v>
      </c>
      <c r="D30" s="3">
        <v>76564.44</v>
      </c>
      <c r="E30" s="3">
        <v>97617.170000000013</v>
      </c>
      <c r="F30" s="32">
        <v>109167.76000000001</v>
      </c>
      <c r="G30" s="26">
        <f>23552.25+36040.01+84050.79</f>
        <v>143643.04999999999</v>
      </c>
      <c r="H30" s="3">
        <f>29178.63+48273.58+121656.63</f>
        <v>199108.84000000003</v>
      </c>
    </row>
    <row r="31" spans="1:8" ht="28.5" customHeight="1" x14ac:dyDescent="0.25">
      <c r="A31" s="1" t="s">
        <v>49</v>
      </c>
      <c r="B31" s="4" t="s">
        <v>51</v>
      </c>
      <c r="C31" s="3">
        <v>4908.6099999999997</v>
      </c>
      <c r="D31" s="3">
        <v>6209.09</v>
      </c>
      <c r="E31" s="3">
        <v>5766.87</v>
      </c>
      <c r="F31" s="26">
        <v>6475.670000000001</v>
      </c>
      <c r="G31" s="26">
        <v>6527.22</v>
      </c>
      <c r="H31" s="3">
        <v>7656.84</v>
      </c>
    </row>
    <row r="32" spans="1:8" ht="28.5" customHeight="1" x14ac:dyDescent="0.25">
      <c r="A32" s="1" t="s">
        <v>50</v>
      </c>
      <c r="B32" s="4" t="s">
        <v>159</v>
      </c>
      <c r="C32" s="3">
        <v>0</v>
      </c>
      <c r="D32" s="3">
        <v>0</v>
      </c>
      <c r="E32" s="3">
        <v>0</v>
      </c>
      <c r="F32" s="26">
        <v>3142.96</v>
      </c>
      <c r="G32" s="26">
        <v>9095.2000000000007</v>
      </c>
      <c r="H32" s="3">
        <v>14701.46</v>
      </c>
    </row>
    <row r="33" spans="1:8" ht="28.5" customHeight="1" x14ac:dyDescent="0.25">
      <c r="A33" s="1" t="s">
        <v>160</v>
      </c>
      <c r="B33" s="5" t="s">
        <v>157</v>
      </c>
      <c r="C33" s="3">
        <v>82170.009999999995</v>
      </c>
      <c r="D33" s="3">
        <v>70916.590000000011</v>
      </c>
      <c r="E33" s="3">
        <v>81084.38</v>
      </c>
      <c r="F33" s="26">
        <v>80409.349999999991</v>
      </c>
      <c r="G33" s="26">
        <f>105299.06+149.9+162+10130.83</f>
        <v>115741.79</v>
      </c>
      <c r="H33" s="3">
        <f>119691.89+30.37+174.27+560.61+15613.45+0</f>
        <v>136070.59</v>
      </c>
    </row>
    <row r="34" spans="1:8" x14ac:dyDescent="0.25">
      <c r="A34" s="25"/>
    </row>
    <row r="36" spans="1:8" ht="26.25" x14ac:dyDescent="0.25">
      <c r="A36" s="6" t="s">
        <v>54</v>
      </c>
      <c r="B36" s="7" t="s">
        <v>12</v>
      </c>
      <c r="C36" s="8">
        <f t="shared" ref="C36:H36" si="0">SUBTOTAL(9,C37:C122)</f>
        <v>10266739.380000001</v>
      </c>
      <c r="D36" s="8">
        <f t="shared" si="0"/>
        <v>8380908.4500000011</v>
      </c>
      <c r="E36" s="8">
        <f t="shared" si="0"/>
        <v>14092491.76</v>
      </c>
      <c r="F36" s="8">
        <f t="shared" si="0"/>
        <v>13012869.660000002</v>
      </c>
      <c r="G36" s="8">
        <f t="shared" si="0"/>
        <v>20256451.699999999</v>
      </c>
      <c r="H36" s="8">
        <f t="shared" si="0"/>
        <v>20549348.260000005</v>
      </c>
    </row>
    <row r="37" spans="1:8" ht="26.25" x14ac:dyDescent="0.25">
      <c r="A37" s="21" t="s">
        <v>55</v>
      </c>
      <c r="B37" s="9" t="s">
        <v>13</v>
      </c>
      <c r="C37" s="10">
        <f>SUBTOTAL(9,C38:C41)</f>
        <v>576292.89999999991</v>
      </c>
      <c r="D37" s="10">
        <f>SUBTOTAL(9,D38:D41)</f>
        <v>553189.1100000001</v>
      </c>
      <c r="E37" s="10">
        <f>SUBTOTAL(9,E38:E41)</f>
        <v>579714.48</v>
      </c>
      <c r="F37" s="10">
        <f t="shared" ref="F37:H37" si="1">SUBTOTAL(9,F38:F41)</f>
        <v>653857.23</v>
      </c>
      <c r="G37" s="10">
        <f t="shared" si="1"/>
        <v>811858.16999999993</v>
      </c>
      <c r="H37" s="10">
        <f t="shared" si="1"/>
        <v>730274.8600000001</v>
      </c>
    </row>
    <row r="38" spans="1:8" x14ac:dyDescent="0.25">
      <c r="A38" s="21" t="s">
        <v>56</v>
      </c>
      <c r="B38" s="11" t="s">
        <v>14</v>
      </c>
      <c r="C38" s="12">
        <v>347431.79</v>
      </c>
      <c r="D38" s="12">
        <v>356761.4</v>
      </c>
      <c r="E38" s="12">
        <v>373450.28</v>
      </c>
      <c r="F38" s="12">
        <v>348429.05</v>
      </c>
      <c r="G38" s="12">
        <v>414896.42</v>
      </c>
      <c r="H38" s="13">
        <v>390621.34</v>
      </c>
    </row>
    <row r="39" spans="1:8" x14ac:dyDescent="0.25">
      <c r="A39" s="21" t="s">
        <v>57</v>
      </c>
      <c r="B39" s="11" t="s">
        <v>15</v>
      </c>
      <c r="C39" s="12">
        <f>19765.87+209095.24</f>
        <v>228861.11</v>
      </c>
      <c r="D39" s="12">
        <f>15683.14+180744.57</f>
        <v>196427.71000000002</v>
      </c>
      <c r="E39" s="12">
        <f>10209.69+196054.51</f>
        <v>206264.2</v>
      </c>
      <c r="F39" s="12">
        <f>14538.54+290889.64</f>
        <v>305428.18</v>
      </c>
      <c r="G39" s="12">
        <f>13558.72+302062.34</f>
        <v>315621.06</v>
      </c>
      <c r="H39" s="13">
        <f>5790+332319.97</f>
        <v>338109.97</v>
      </c>
    </row>
    <row r="40" spans="1:8" x14ac:dyDescent="0.25">
      <c r="A40" s="21" t="s">
        <v>58</v>
      </c>
      <c r="B40" s="11" t="s">
        <v>126</v>
      </c>
      <c r="C40" s="12">
        <v>0</v>
      </c>
      <c r="D40" s="12">
        <v>0</v>
      </c>
      <c r="E40" s="12">
        <v>0</v>
      </c>
      <c r="F40" s="12">
        <v>0</v>
      </c>
      <c r="G40" s="12">
        <v>59020.69</v>
      </c>
      <c r="H40" s="13">
        <v>118.55</v>
      </c>
    </row>
    <row r="41" spans="1:8" x14ac:dyDescent="0.25">
      <c r="A41" s="21" t="s">
        <v>59</v>
      </c>
      <c r="B41" s="11" t="s">
        <v>16</v>
      </c>
      <c r="C41" s="12">
        <v>0</v>
      </c>
      <c r="D41" s="12">
        <v>0</v>
      </c>
      <c r="E41" s="12">
        <v>0</v>
      </c>
      <c r="F41" s="12">
        <v>0</v>
      </c>
      <c r="G41" s="12">
        <v>22320</v>
      </c>
      <c r="H41" s="13">
        <v>1425</v>
      </c>
    </row>
    <row r="42" spans="1:8" ht="26.25" x14ac:dyDescent="0.25">
      <c r="A42" s="21" t="s">
        <v>60</v>
      </c>
      <c r="B42" s="9" t="s">
        <v>17</v>
      </c>
      <c r="C42" s="10">
        <f>SUBTOTAL(9,C43:C46)</f>
        <v>302844.46999999997</v>
      </c>
      <c r="D42" s="10">
        <f>SUBTOTAL(9,D43:D46)</f>
        <v>129837.62000000001</v>
      </c>
      <c r="E42" s="10">
        <f>SUBTOTAL(9,E43:E46)</f>
        <v>333941.51</v>
      </c>
      <c r="F42" s="10">
        <f t="shared" ref="F42:G42" si="2">SUBTOTAL(9,F43:F46)</f>
        <v>170752.59</v>
      </c>
      <c r="G42" s="10">
        <f t="shared" si="2"/>
        <v>220461.97999999998</v>
      </c>
      <c r="H42" s="10">
        <f>SUBTOTAL(9,H43:H46)</f>
        <v>138142.73000000001</v>
      </c>
    </row>
    <row r="43" spans="1:8" x14ac:dyDescent="0.25">
      <c r="A43" s="21" t="s">
        <v>61</v>
      </c>
      <c r="B43" s="11" t="s">
        <v>14</v>
      </c>
      <c r="C43" s="12">
        <v>95317.96</v>
      </c>
      <c r="D43" s="12">
        <v>84907.6</v>
      </c>
      <c r="E43" s="12">
        <v>98822.3</v>
      </c>
      <c r="F43" s="12">
        <v>90770.4</v>
      </c>
      <c r="G43" s="12">
        <v>96359.360000000001</v>
      </c>
      <c r="H43" s="13">
        <v>86382.55</v>
      </c>
    </row>
    <row r="44" spans="1:8" x14ac:dyDescent="0.25">
      <c r="A44" s="21" t="s">
        <v>62</v>
      </c>
      <c r="B44" s="11" t="s">
        <v>15</v>
      </c>
      <c r="C44" s="14">
        <f>35393.42+60916.67</f>
        <v>96310.09</v>
      </c>
      <c r="D44" s="12">
        <f>21022.48+23907.54</f>
        <v>44930.020000000004</v>
      </c>
      <c r="E44" s="14">
        <f>29214.34+23388.06</f>
        <v>52602.400000000001</v>
      </c>
      <c r="F44" s="14">
        <f>16772.48+46151</f>
        <v>62923.479999999996</v>
      </c>
      <c r="G44" s="14">
        <f>15569.61+41763.09</f>
        <v>57332.7</v>
      </c>
      <c r="H44" s="13">
        <f>10966+38482.18</f>
        <v>49448.18</v>
      </c>
    </row>
    <row r="45" spans="1:8" x14ac:dyDescent="0.25">
      <c r="A45" s="21" t="s">
        <v>63</v>
      </c>
      <c r="B45" s="11" t="s">
        <v>126</v>
      </c>
      <c r="C45" s="14">
        <v>0</v>
      </c>
      <c r="D45" s="12">
        <v>0</v>
      </c>
      <c r="E45" s="14">
        <v>0</v>
      </c>
      <c r="F45" s="14">
        <v>17058.71</v>
      </c>
      <c r="G45" s="14">
        <v>55609.919999999998</v>
      </c>
      <c r="H45" s="13">
        <v>0</v>
      </c>
    </row>
    <row r="46" spans="1:8" x14ac:dyDescent="0.25">
      <c r="A46" s="21" t="s">
        <v>64</v>
      </c>
      <c r="B46" s="11" t="s">
        <v>16</v>
      </c>
      <c r="C46" s="14">
        <v>111216.42</v>
      </c>
      <c r="D46" s="12">
        <v>0</v>
      </c>
      <c r="E46" s="14">
        <v>182516.81</v>
      </c>
      <c r="F46" s="14">
        <v>0</v>
      </c>
      <c r="G46" s="14">
        <v>11160</v>
      </c>
      <c r="H46" s="13">
        <v>2312</v>
      </c>
    </row>
    <row r="47" spans="1:8" ht="26.25" x14ac:dyDescent="0.25">
      <c r="A47" s="21" t="s">
        <v>65</v>
      </c>
      <c r="B47" s="9" t="s">
        <v>18</v>
      </c>
      <c r="C47" s="10">
        <f>SUBTOTAL(9,C48:C51)</f>
        <v>106929.05</v>
      </c>
      <c r="D47" s="10">
        <f>SUBTOTAL(9,D48:D51)</f>
        <v>164488.72</v>
      </c>
      <c r="E47" s="10">
        <f>SUBTOTAL(9,E48:E51)</f>
        <v>294640.09999999998</v>
      </c>
      <c r="F47" s="10">
        <f t="shared" ref="F47:H47" si="3">SUBTOTAL(9,F48:F51)</f>
        <v>90209.82</v>
      </c>
      <c r="G47" s="10">
        <f t="shared" si="3"/>
        <v>106483.81</v>
      </c>
      <c r="H47" s="10">
        <f t="shared" si="3"/>
        <v>216343.98</v>
      </c>
    </row>
    <row r="48" spans="1:8" x14ac:dyDescent="0.25">
      <c r="A48" s="21" t="s">
        <v>66</v>
      </c>
      <c r="B48" s="11" t="s">
        <v>14</v>
      </c>
      <c r="C48" s="14">
        <v>62950.06</v>
      </c>
      <c r="D48" s="12">
        <v>52657.27</v>
      </c>
      <c r="E48" s="14">
        <v>59539.29</v>
      </c>
      <c r="F48" s="14">
        <v>51453.68</v>
      </c>
      <c r="G48" s="14">
        <v>64537.1</v>
      </c>
      <c r="H48" s="13">
        <v>48106.25</v>
      </c>
    </row>
    <row r="49" spans="1:8" x14ac:dyDescent="0.25">
      <c r="A49" s="21" t="s">
        <v>67</v>
      </c>
      <c r="B49" s="11" t="s">
        <v>15</v>
      </c>
      <c r="C49" s="14">
        <f>4647.98+39331.01</f>
        <v>43978.990000000005</v>
      </c>
      <c r="D49" s="12">
        <f>92539.18+19292.27</f>
        <v>111831.45</v>
      </c>
      <c r="E49" s="13">
        <f>218431.26+16669.55</f>
        <v>235100.81</v>
      </c>
      <c r="F49" s="14">
        <f>3410.87+35345.27</f>
        <v>38756.14</v>
      </c>
      <c r="G49" s="14">
        <f>467.95+30318.76</f>
        <v>30786.71</v>
      </c>
      <c r="H49" s="13">
        <f>137123.35+28453.38</f>
        <v>165576.73000000001</v>
      </c>
    </row>
    <row r="50" spans="1:8" x14ac:dyDescent="0.25">
      <c r="A50" s="21" t="s">
        <v>68</v>
      </c>
      <c r="B50" s="11" t="s">
        <v>126</v>
      </c>
      <c r="C50" s="14">
        <v>0</v>
      </c>
      <c r="D50" s="12">
        <v>0</v>
      </c>
      <c r="E50" s="14">
        <v>0</v>
      </c>
      <c r="F50" s="14">
        <v>0</v>
      </c>
      <c r="G50" s="14">
        <v>0</v>
      </c>
      <c r="H50" s="13">
        <v>0</v>
      </c>
    </row>
    <row r="51" spans="1:8" x14ac:dyDescent="0.25">
      <c r="A51" s="21" t="s">
        <v>69</v>
      </c>
      <c r="B51" s="11" t="s">
        <v>16</v>
      </c>
      <c r="C51" s="14">
        <v>0</v>
      </c>
      <c r="D51" s="12">
        <v>0</v>
      </c>
      <c r="E51" s="14">
        <v>0</v>
      </c>
      <c r="F51" s="14">
        <v>0</v>
      </c>
      <c r="G51" s="14">
        <v>11160</v>
      </c>
      <c r="H51" s="13">
        <v>2661</v>
      </c>
    </row>
    <row r="52" spans="1:8" ht="26.25" x14ac:dyDescent="0.25">
      <c r="A52" s="21" t="s">
        <v>70</v>
      </c>
      <c r="B52" s="4" t="s">
        <v>19</v>
      </c>
      <c r="C52" s="10">
        <f>SUBTOTAL(9,C53:C56)</f>
        <v>84197.540000000008</v>
      </c>
      <c r="D52" s="10">
        <f>SUBTOTAL(9,D53:D56)</f>
        <v>52159.47</v>
      </c>
      <c r="E52" s="10">
        <f>SUBTOTAL(9,E53:E56)</f>
        <v>68626.92</v>
      </c>
      <c r="F52" s="10">
        <f t="shared" ref="F52:H52" si="4">SUBTOTAL(9,F53:F56)</f>
        <v>72051.48000000001</v>
      </c>
      <c r="G52" s="10">
        <f t="shared" si="4"/>
        <v>86004.459999999992</v>
      </c>
      <c r="H52" s="10">
        <f t="shared" si="4"/>
        <v>77069.279999999999</v>
      </c>
    </row>
    <row r="53" spans="1:8" x14ac:dyDescent="0.25">
      <c r="A53" s="21" t="s">
        <v>71</v>
      </c>
      <c r="B53" s="11" t="s">
        <v>14</v>
      </c>
      <c r="C53" s="14">
        <v>34534.25</v>
      </c>
      <c r="D53" s="12">
        <v>29254.63</v>
      </c>
      <c r="E53" s="14">
        <v>30493.97</v>
      </c>
      <c r="F53" s="14">
        <v>30873.040000000001</v>
      </c>
      <c r="G53" s="14">
        <v>38521.870000000003</v>
      </c>
      <c r="H53" s="13">
        <v>40176.339999999997</v>
      </c>
    </row>
    <row r="54" spans="1:8" x14ac:dyDescent="0.25">
      <c r="A54" s="21" t="s">
        <v>72</v>
      </c>
      <c r="B54" s="11" t="s">
        <v>15</v>
      </c>
      <c r="C54" s="14">
        <f>5175.99+44487.3</f>
        <v>49663.29</v>
      </c>
      <c r="D54" s="12">
        <f>2717+20187.84</f>
        <v>22904.84</v>
      </c>
      <c r="E54" s="14">
        <f>18117.55+20015.4</f>
        <v>38132.949999999997</v>
      </c>
      <c r="F54" s="14">
        <f>4341.37+36837.07</f>
        <v>41178.44</v>
      </c>
      <c r="G54" s="14">
        <f>5968.45+30354.14</f>
        <v>36322.589999999997</v>
      </c>
      <c r="H54" s="13">
        <f>4104.97+30126.97</f>
        <v>34231.94</v>
      </c>
    </row>
    <row r="55" spans="1:8" x14ac:dyDescent="0.25">
      <c r="A55" s="21" t="s">
        <v>73</v>
      </c>
      <c r="B55" s="11" t="s">
        <v>126</v>
      </c>
      <c r="C55" s="14">
        <v>0</v>
      </c>
      <c r="D55" s="12">
        <v>0</v>
      </c>
      <c r="E55" s="14">
        <v>0</v>
      </c>
      <c r="F55" s="14">
        <v>0</v>
      </c>
      <c r="G55" s="14">
        <v>0</v>
      </c>
      <c r="H55" s="13">
        <v>0</v>
      </c>
    </row>
    <row r="56" spans="1:8" x14ac:dyDescent="0.25">
      <c r="A56" s="21" t="s">
        <v>74</v>
      </c>
      <c r="B56" s="11" t="s">
        <v>16</v>
      </c>
      <c r="C56" s="14">
        <v>0</v>
      </c>
      <c r="D56" s="12">
        <v>0</v>
      </c>
      <c r="E56" s="14">
        <v>0</v>
      </c>
      <c r="F56" s="14">
        <v>0</v>
      </c>
      <c r="G56" s="14">
        <v>11160</v>
      </c>
      <c r="H56" s="13">
        <v>2661</v>
      </c>
    </row>
    <row r="57" spans="1:8" ht="39" x14ac:dyDescent="0.25">
      <c r="A57" s="21" t="s">
        <v>75</v>
      </c>
      <c r="B57" s="4" t="s">
        <v>20</v>
      </c>
      <c r="C57" s="10">
        <f>SUBTOTAL(9,C58:C61)</f>
        <v>132920.1</v>
      </c>
      <c r="D57" s="10">
        <f>SUBTOTAL(9,D58:D61)</f>
        <v>53648.73</v>
      </c>
      <c r="E57" s="10">
        <f>SUBTOTAL(9,E58:E61)</f>
        <v>609801.28</v>
      </c>
      <c r="F57" s="10">
        <f t="shared" ref="F57:H57" si="5">SUBTOTAL(9,F58:F61)</f>
        <v>423064.94999999995</v>
      </c>
      <c r="G57" s="10">
        <f t="shared" si="5"/>
        <v>1040795.87</v>
      </c>
      <c r="H57" s="10">
        <f t="shared" si="5"/>
        <v>836512.22</v>
      </c>
    </row>
    <row r="58" spans="1:8" x14ac:dyDescent="0.25">
      <c r="A58" s="21" t="s">
        <v>76</v>
      </c>
      <c r="B58" s="11" t="s">
        <v>14</v>
      </c>
      <c r="C58" s="14">
        <v>27789.1</v>
      </c>
      <c r="D58" s="12">
        <v>23759.83</v>
      </c>
      <c r="E58" s="14">
        <v>28239.119999999999</v>
      </c>
      <c r="F58" s="14">
        <v>24094</v>
      </c>
      <c r="G58" s="14">
        <v>31419</v>
      </c>
      <c r="H58" s="13">
        <v>36598.53</v>
      </c>
    </row>
    <row r="59" spans="1:8" x14ac:dyDescent="0.25">
      <c r="A59" s="21" t="s">
        <v>77</v>
      </c>
      <c r="B59" s="11" t="s">
        <v>15</v>
      </c>
      <c r="C59" s="14">
        <f>11279.88+93851.12</f>
        <v>105131</v>
      </c>
      <c r="D59" s="12">
        <f>10669.34+19219.56</f>
        <v>29888.9</v>
      </c>
      <c r="E59" s="14">
        <f>3782.27+22169.54</f>
        <v>25951.81</v>
      </c>
      <c r="F59" s="14">
        <f>5197.09+35838.63</f>
        <v>41035.72</v>
      </c>
      <c r="G59" s="14">
        <f>4519.95+27759.41</f>
        <v>32279.360000000001</v>
      </c>
      <c r="H59" s="13">
        <f>2730.35+27259.73</f>
        <v>29990.079999999998</v>
      </c>
    </row>
    <row r="60" spans="1:8" x14ac:dyDescent="0.25">
      <c r="A60" s="21" t="s">
        <v>78</v>
      </c>
      <c r="B60" s="11" t="s">
        <v>126</v>
      </c>
      <c r="C60" s="14">
        <v>0</v>
      </c>
      <c r="D60" s="12">
        <v>0</v>
      </c>
      <c r="E60" s="14">
        <v>0</v>
      </c>
      <c r="F60" s="14">
        <v>0</v>
      </c>
      <c r="G60" s="14">
        <v>0</v>
      </c>
      <c r="H60" s="13">
        <v>0</v>
      </c>
    </row>
    <row r="61" spans="1:8" x14ac:dyDescent="0.25">
      <c r="A61" s="21" t="s">
        <v>79</v>
      </c>
      <c r="B61" s="11" t="s">
        <v>16</v>
      </c>
      <c r="C61" s="12">
        <v>0</v>
      </c>
      <c r="D61" s="15">
        <v>0</v>
      </c>
      <c r="E61" s="16">
        <v>555610.35</v>
      </c>
      <c r="F61" s="16">
        <v>357935.23</v>
      </c>
      <c r="G61" s="14">
        <f>582097.51+395000</f>
        <v>977097.51</v>
      </c>
      <c r="H61" s="17">
        <v>769923.61</v>
      </c>
    </row>
    <row r="62" spans="1:8" ht="39" x14ac:dyDescent="0.25">
      <c r="A62" s="21" t="s">
        <v>80</v>
      </c>
      <c r="B62" s="9" t="s">
        <v>21</v>
      </c>
      <c r="C62" s="10">
        <f>SUBTOTAL(9,C63:C66)</f>
        <v>60122.75</v>
      </c>
      <c r="D62" s="10">
        <f>SUBTOTAL(9,D63:D66)</f>
        <v>49346.49</v>
      </c>
      <c r="E62" s="10">
        <f>SUBTOTAL(9,E63:E66)</f>
        <v>48001.46</v>
      </c>
      <c r="F62" s="10">
        <f t="shared" ref="F62:H62" si="6">SUBTOTAL(9,F63:F66)</f>
        <v>85995.639999999985</v>
      </c>
      <c r="G62" s="10">
        <f t="shared" si="6"/>
        <v>108139.76000000001</v>
      </c>
      <c r="H62" s="10">
        <f t="shared" si="6"/>
        <v>47482.229999999996</v>
      </c>
    </row>
    <row r="63" spans="1:8" x14ac:dyDescent="0.25">
      <c r="A63" s="21" t="s">
        <v>81</v>
      </c>
      <c r="B63" s="11" t="s">
        <v>14</v>
      </c>
      <c r="C63" s="14">
        <v>38015.360000000001</v>
      </c>
      <c r="D63" s="12">
        <v>39506.5</v>
      </c>
      <c r="E63" s="14">
        <v>35393.360000000001</v>
      </c>
      <c r="F63" s="14">
        <v>35410.559999999998</v>
      </c>
      <c r="G63" s="14">
        <v>50831.27</v>
      </c>
      <c r="H63" s="13">
        <v>35021.96</v>
      </c>
    </row>
    <row r="64" spans="1:8" x14ac:dyDescent="0.25">
      <c r="A64" s="21" t="s">
        <v>82</v>
      </c>
      <c r="B64" s="11" t="s">
        <v>15</v>
      </c>
      <c r="C64" s="14">
        <f>10353.73+11753.66</f>
        <v>22107.39</v>
      </c>
      <c r="D64" s="12">
        <f>4242.76+5597.23</f>
        <v>9839.99</v>
      </c>
      <c r="E64" s="14">
        <f>5147.85+7460.25</f>
        <v>12608.1</v>
      </c>
      <c r="F64" s="14">
        <f>5494.73+11047.33</f>
        <v>16542.059999999998</v>
      </c>
      <c r="G64" s="14">
        <f>5000+28730.77</f>
        <v>33730.770000000004</v>
      </c>
      <c r="H64" s="13">
        <f>80+9530.27</f>
        <v>9610.27</v>
      </c>
    </row>
    <row r="65" spans="1:8" x14ac:dyDescent="0.25">
      <c r="A65" s="21" t="s">
        <v>83</v>
      </c>
      <c r="B65" s="11" t="s">
        <v>126</v>
      </c>
      <c r="C65" s="14">
        <v>0</v>
      </c>
      <c r="D65" s="12">
        <v>0</v>
      </c>
      <c r="E65" s="14">
        <v>0</v>
      </c>
      <c r="F65" s="14">
        <v>34043.019999999997</v>
      </c>
      <c r="G65" s="14">
        <v>12417.72</v>
      </c>
      <c r="H65" s="13">
        <v>0</v>
      </c>
    </row>
    <row r="66" spans="1:8" x14ac:dyDescent="0.25">
      <c r="A66" s="21" t="s">
        <v>84</v>
      </c>
      <c r="B66" s="11" t="s">
        <v>16</v>
      </c>
      <c r="C66" s="14">
        <v>0</v>
      </c>
      <c r="D66" s="12">
        <v>0</v>
      </c>
      <c r="E66" s="14">
        <v>0</v>
      </c>
      <c r="F66" s="14">
        <v>0</v>
      </c>
      <c r="G66" s="14">
        <v>11160</v>
      </c>
      <c r="H66" s="13">
        <v>2850</v>
      </c>
    </row>
    <row r="67" spans="1:8" ht="55.5" customHeight="1" x14ac:dyDescent="0.25">
      <c r="A67" s="21" t="s">
        <v>85</v>
      </c>
      <c r="B67" s="4" t="s">
        <v>119</v>
      </c>
      <c r="C67" s="10">
        <f>SUBTOTAL(9,C68:C71)</f>
        <v>141570.82</v>
      </c>
      <c r="D67" s="10">
        <f>SUBTOTAL(9,D68:D71)</f>
        <v>252443.65</v>
      </c>
      <c r="E67" s="10">
        <f>SUBTOTAL(9,E68:E71)</f>
        <v>293373.51999999996</v>
      </c>
      <c r="F67" s="10">
        <f>SUBTOTAL(9,F68:F71)</f>
        <v>229603.18000000002</v>
      </c>
      <c r="G67" s="10">
        <f t="shared" ref="G67:H67" si="7">SUBTOTAL(9,G68:G71)</f>
        <v>419088.71</v>
      </c>
      <c r="H67" s="10">
        <f t="shared" si="7"/>
        <v>225823.00999999998</v>
      </c>
    </row>
    <row r="68" spans="1:8" x14ac:dyDescent="0.25">
      <c r="A68" s="21" t="s">
        <v>86</v>
      </c>
      <c r="B68" s="11" t="s">
        <v>14</v>
      </c>
      <c r="C68" s="14">
        <v>113811.24</v>
      </c>
      <c r="D68" s="12">
        <v>242519.34</v>
      </c>
      <c r="E68" s="14">
        <v>248539.74</v>
      </c>
      <c r="F68" s="14">
        <v>211981.56</v>
      </c>
      <c r="G68" s="14">
        <v>261535.39</v>
      </c>
      <c r="H68" s="13">
        <v>224528.9</v>
      </c>
    </row>
    <row r="69" spans="1:8" x14ac:dyDescent="0.25">
      <c r="A69" s="21" t="s">
        <v>87</v>
      </c>
      <c r="B69" s="11" t="s">
        <v>15</v>
      </c>
      <c r="C69" s="14">
        <f>4400+23359.58</f>
        <v>27759.58</v>
      </c>
      <c r="D69" s="12">
        <f>285.19+9639.12</f>
        <v>9924.3100000000013</v>
      </c>
      <c r="E69" s="14">
        <f>112.5+41528.05</f>
        <v>41640.550000000003</v>
      </c>
      <c r="F69" s="14">
        <f>253.22+17247.98</f>
        <v>17501.2</v>
      </c>
      <c r="G69" s="14">
        <v>56036.88</v>
      </c>
      <c r="H69" s="13">
        <v>1294.1099999999999</v>
      </c>
    </row>
    <row r="70" spans="1:8" x14ac:dyDescent="0.25">
      <c r="A70" s="21" t="s">
        <v>88</v>
      </c>
      <c r="B70" s="11" t="s">
        <v>126</v>
      </c>
      <c r="C70" s="14">
        <v>0</v>
      </c>
      <c r="D70" s="12">
        <v>0</v>
      </c>
      <c r="E70" s="14">
        <v>3193.23</v>
      </c>
      <c r="F70" s="14">
        <v>120.42</v>
      </c>
      <c r="G70" s="14">
        <v>101516.44</v>
      </c>
      <c r="H70" s="13">
        <v>0</v>
      </c>
    </row>
    <row r="71" spans="1:8" x14ac:dyDescent="0.25">
      <c r="A71" s="21" t="s">
        <v>89</v>
      </c>
      <c r="B71" s="11" t="s">
        <v>16</v>
      </c>
      <c r="C71" s="14">
        <v>0</v>
      </c>
      <c r="D71" s="12">
        <v>0</v>
      </c>
      <c r="E71" s="14">
        <v>0</v>
      </c>
      <c r="F71" s="14">
        <v>0</v>
      </c>
      <c r="G71" s="14">
        <v>0</v>
      </c>
      <c r="H71" s="13">
        <v>0</v>
      </c>
    </row>
    <row r="72" spans="1:8" ht="26.25" x14ac:dyDescent="0.25">
      <c r="A72" s="21" t="s">
        <v>90</v>
      </c>
      <c r="B72" s="4" t="s">
        <v>136</v>
      </c>
      <c r="C72" s="10">
        <f>SUBTOTAL(9,C73:C76)</f>
        <v>664797.63</v>
      </c>
      <c r="D72" s="10">
        <f>SUBTOTAL(9,D73:D76)</f>
        <v>853593.79</v>
      </c>
      <c r="E72" s="10">
        <f>SUBTOTAL(9,E73:E76)</f>
        <v>860783.45</v>
      </c>
      <c r="F72" s="10">
        <f t="shared" ref="F72:H72" si="8">SUBTOTAL(9,F73:F76)</f>
        <v>832721.09</v>
      </c>
      <c r="G72" s="10">
        <f t="shared" si="8"/>
        <v>897274.04999999993</v>
      </c>
      <c r="H72" s="10">
        <f t="shared" si="8"/>
        <v>1670003.3</v>
      </c>
    </row>
    <row r="73" spans="1:8" x14ac:dyDescent="0.25">
      <c r="A73" s="21" t="s">
        <v>91</v>
      </c>
      <c r="B73" s="11" t="s">
        <v>14</v>
      </c>
      <c r="C73" s="14">
        <v>245874.27</v>
      </c>
      <c r="D73" s="12">
        <v>216676.67</v>
      </c>
      <c r="E73" s="14">
        <v>222881.77</v>
      </c>
      <c r="F73" s="14">
        <v>242867.58</v>
      </c>
      <c r="G73" s="14">
        <v>261457.98</v>
      </c>
      <c r="H73" s="13">
        <v>234566.34</v>
      </c>
    </row>
    <row r="74" spans="1:8" x14ac:dyDescent="0.25">
      <c r="A74" s="21" t="s">
        <v>92</v>
      </c>
      <c r="B74" s="11" t="s">
        <v>15</v>
      </c>
      <c r="C74" s="14">
        <f>41799.52+377123.84</f>
        <v>418923.36000000004</v>
      </c>
      <c r="D74" s="12">
        <f>2365.72+604617.4</f>
        <v>606983.12</v>
      </c>
      <c r="E74" s="14">
        <f>105+548644.09</f>
        <v>548749.09</v>
      </c>
      <c r="F74" s="14">
        <f>11884.48+577969.03</f>
        <v>589853.51</v>
      </c>
      <c r="G74" s="14">
        <f>15196.4+586197.5</f>
        <v>601393.9</v>
      </c>
      <c r="H74" s="13">
        <f>162.75+1426183.93</f>
        <v>1426346.68</v>
      </c>
    </row>
    <row r="75" spans="1:8" x14ac:dyDescent="0.25">
      <c r="A75" s="21" t="s">
        <v>93</v>
      </c>
      <c r="B75" s="11" t="s">
        <v>126</v>
      </c>
      <c r="C75" s="14">
        <v>0</v>
      </c>
      <c r="D75" s="12">
        <v>0</v>
      </c>
      <c r="E75" s="14">
        <v>89152.59</v>
      </c>
      <c r="F75" s="14">
        <v>0</v>
      </c>
      <c r="G75" s="14">
        <v>19.59</v>
      </c>
      <c r="H75" s="13">
        <v>6897.28</v>
      </c>
    </row>
    <row r="76" spans="1:8" x14ac:dyDescent="0.25">
      <c r="A76" s="21" t="s">
        <v>94</v>
      </c>
      <c r="B76" s="11" t="s">
        <v>16</v>
      </c>
      <c r="C76" s="14">
        <v>0</v>
      </c>
      <c r="D76" s="12">
        <v>29934</v>
      </c>
      <c r="E76" s="14">
        <v>0</v>
      </c>
      <c r="F76" s="14">
        <v>0</v>
      </c>
      <c r="G76" s="14">
        <f>32262.58+2140</f>
        <v>34402.58</v>
      </c>
      <c r="H76" s="13">
        <v>2193</v>
      </c>
    </row>
    <row r="77" spans="1:8" ht="39" x14ac:dyDescent="0.25">
      <c r="A77" s="21" t="s">
        <v>95</v>
      </c>
      <c r="B77" s="4" t="s">
        <v>137</v>
      </c>
      <c r="C77" s="29">
        <f>SUBTOTAL(9,C78:C81)</f>
        <v>24255.11</v>
      </c>
      <c r="D77" s="29">
        <f>SUBTOTAL(9,D78:D81)</f>
        <v>29866.99</v>
      </c>
      <c r="E77" s="29">
        <f t="shared" ref="E77:H77" si="9">SUBTOTAL(9,E78:E81)</f>
        <v>40801.729999999996</v>
      </c>
      <c r="F77" s="29">
        <f t="shared" si="9"/>
        <v>27175.81</v>
      </c>
      <c r="G77" s="29">
        <f t="shared" si="9"/>
        <v>46292.299999999996</v>
      </c>
      <c r="H77" s="29">
        <f t="shared" si="9"/>
        <v>31650.190000000002</v>
      </c>
    </row>
    <row r="78" spans="1:8" x14ac:dyDescent="0.25">
      <c r="A78" s="21" t="s">
        <v>96</v>
      </c>
      <c r="B78" s="11" t="s">
        <v>14</v>
      </c>
      <c r="C78" s="14">
        <v>20712.18</v>
      </c>
      <c r="D78" s="12">
        <v>27352.04</v>
      </c>
      <c r="E78" s="14">
        <v>29813.53</v>
      </c>
      <c r="F78" s="14">
        <v>26257.91</v>
      </c>
      <c r="G78" s="14">
        <v>40142.42</v>
      </c>
      <c r="H78" s="13">
        <v>30257.72</v>
      </c>
    </row>
    <row r="79" spans="1:8" x14ac:dyDescent="0.25">
      <c r="A79" s="21" t="s">
        <v>52</v>
      </c>
      <c r="B79" s="11" t="s">
        <v>15</v>
      </c>
      <c r="C79" s="14">
        <f>354.74+3188.19</f>
        <v>3542.9300000000003</v>
      </c>
      <c r="D79" s="12">
        <f>354.74+2160.21</f>
        <v>2514.9499999999998</v>
      </c>
      <c r="E79" s="14">
        <f>8800+2188.2</f>
        <v>10988.2</v>
      </c>
      <c r="F79" s="14">
        <f>121.92+795.98</f>
        <v>917.9</v>
      </c>
      <c r="G79" s="14">
        <v>569.88</v>
      </c>
      <c r="H79" s="13">
        <f>1050+342.47</f>
        <v>1392.47</v>
      </c>
    </row>
    <row r="80" spans="1:8" x14ac:dyDescent="0.25">
      <c r="A80" s="21" t="s">
        <v>97</v>
      </c>
      <c r="B80" s="11" t="s">
        <v>126</v>
      </c>
      <c r="C80" s="14">
        <v>0</v>
      </c>
      <c r="D80" s="12">
        <v>0</v>
      </c>
      <c r="E80" s="14">
        <v>0</v>
      </c>
      <c r="F80" s="14">
        <v>0</v>
      </c>
      <c r="G80" s="14">
        <v>0</v>
      </c>
      <c r="H80" s="13">
        <v>0</v>
      </c>
    </row>
    <row r="81" spans="1:8" x14ac:dyDescent="0.25">
      <c r="A81" s="21" t="s">
        <v>138</v>
      </c>
      <c r="B81" s="11" t="s">
        <v>16</v>
      </c>
      <c r="C81" s="14">
        <v>0</v>
      </c>
      <c r="D81" s="12">
        <v>0</v>
      </c>
      <c r="E81" s="14">
        <v>0</v>
      </c>
      <c r="F81" s="14">
        <v>0</v>
      </c>
      <c r="G81" s="14">
        <v>5580</v>
      </c>
      <c r="H81" s="13">
        <v>0</v>
      </c>
    </row>
    <row r="82" spans="1:8" ht="26.25" x14ac:dyDescent="0.25">
      <c r="A82" s="21" t="s">
        <v>98</v>
      </c>
      <c r="B82" s="9" t="s">
        <v>22</v>
      </c>
      <c r="C82" s="10">
        <f>SUBTOTAL(9,C83:C86)</f>
        <v>269594.27</v>
      </c>
      <c r="D82" s="10">
        <f>SUBTOTAL(9,D83:D86)</f>
        <v>302769.5</v>
      </c>
      <c r="E82" s="10">
        <f>SUBTOTAL(9,E83:E86)</f>
        <v>185334.64</v>
      </c>
      <c r="F82" s="10">
        <f t="shared" ref="F82:H82" si="10">SUBTOTAL(9,F83:F86)</f>
        <v>249251.46000000002</v>
      </c>
      <c r="G82" s="10">
        <f t="shared" si="10"/>
        <v>422067.92000000004</v>
      </c>
      <c r="H82" s="10">
        <f t="shared" si="10"/>
        <v>221396.72</v>
      </c>
    </row>
    <row r="83" spans="1:8" x14ac:dyDescent="0.25">
      <c r="A83" s="21" t="s">
        <v>99</v>
      </c>
      <c r="B83" s="11" t="s">
        <v>14</v>
      </c>
      <c r="C83" s="12">
        <v>139729.97</v>
      </c>
      <c r="D83" s="15">
        <v>136820.01</v>
      </c>
      <c r="E83" s="15">
        <v>113688.48</v>
      </c>
      <c r="F83" s="16">
        <v>124554.32</v>
      </c>
      <c r="G83" s="14">
        <v>129858.09</v>
      </c>
      <c r="H83" s="17">
        <v>110371.93</v>
      </c>
    </row>
    <row r="84" spans="1:8" x14ac:dyDescent="0.25">
      <c r="A84" s="21" t="s">
        <v>100</v>
      </c>
      <c r="B84" s="11" t="s">
        <v>15</v>
      </c>
      <c r="C84" s="12">
        <f>7810.63+100223.97</f>
        <v>108034.6</v>
      </c>
      <c r="D84" s="15">
        <f>4756.97+57022.07</f>
        <v>61779.040000000001</v>
      </c>
      <c r="E84" s="15">
        <f>4000+56269.15</f>
        <v>60269.15</v>
      </c>
      <c r="F84" s="16">
        <f>6660.36+118036.78</f>
        <v>124697.14</v>
      </c>
      <c r="G84" s="14">
        <f>13485.1+119650.97</f>
        <v>133136.07</v>
      </c>
      <c r="H84" s="17">
        <f>3000+86858.38</f>
        <v>89858.38</v>
      </c>
    </row>
    <row r="85" spans="1:8" x14ac:dyDescent="0.25">
      <c r="A85" s="21" t="s">
        <v>101</v>
      </c>
      <c r="B85" s="11" t="s">
        <v>126</v>
      </c>
      <c r="C85" s="14">
        <v>21829.7</v>
      </c>
      <c r="D85" s="15">
        <v>104170.45</v>
      </c>
      <c r="E85" s="15">
        <v>11377.01</v>
      </c>
      <c r="F85" s="16">
        <v>0</v>
      </c>
      <c r="G85" s="14">
        <v>147913.76</v>
      </c>
      <c r="H85" s="17">
        <v>15546.41</v>
      </c>
    </row>
    <row r="86" spans="1:8" x14ac:dyDescent="0.25">
      <c r="A86" s="21" t="s">
        <v>102</v>
      </c>
      <c r="B86" s="11" t="s">
        <v>16</v>
      </c>
      <c r="C86" s="12">
        <v>0</v>
      </c>
      <c r="D86" s="15">
        <v>0</v>
      </c>
      <c r="E86" s="15">
        <v>0</v>
      </c>
      <c r="F86" s="16">
        <v>0</v>
      </c>
      <c r="G86" s="14">
        <v>11160</v>
      </c>
      <c r="H86" s="17">
        <v>5620</v>
      </c>
    </row>
    <row r="87" spans="1:8" ht="26.25" x14ac:dyDescent="0.25">
      <c r="A87" s="21" t="s">
        <v>103</v>
      </c>
      <c r="B87" s="4" t="s">
        <v>23</v>
      </c>
      <c r="C87" s="10">
        <f>SUBTOTAL(9,C88:C90)</f>
        <v>0</v>
      </c>
      <c r="D87" s="10">
        <f>SUBTOTAL(9,D88:D90)</f>
        <v>0</v>
      </c>
      <c r="E87" s="10">
        <f>SUBTOTAL(9,E88:E90)</f>
        <v>0</v>
      </c>
      <c r="F87" s="10">
        <f t="shared" ref="F87:H87" si="11">SUBTOTAL(9,F88:F90)</f>
        <v>0</v>
      </c>
      <c r="G87" s="10">
        <f t="shared" si="11"/>
        <v>0</v>
      </c>
      <c r="H87" s="10">
        <f t="shared" si="11"/>
        <v>0</v>
      </c>
    </row>
    <row r="88" spans="1:8" x14ac:dyDescent="0.25">
      <c r="A88" s="21" t="s">
        <v>53</v>
      </c>
      <c r="B88" s="11" t="s">
        <v>14</v>
      </c>
      <c r="C88" s="12">
        <v>0</v>
      </c>
      <c r="D88" s="12">
        <v>0</v>
      </c>
      <c r="E88" s="14">
        <v>0</v>
      </c>
      <c r="F88" s="18">
        <v>0</v>
      </c>
      <c r="G88" s="14">
        <v>0</v>
      </c>
      <c r="H88" s="13">
        <v>0</v>
      </c>
    </row>
    <row r="89" spans="1:8" x14ac:dyDescent="0.25">
      <c r="A89" s="21" t="s">
        <v>104</v>
      </c>
      <c r="B89" s="11" t="s">
        <v>15</v>
      </c>
      <c r="C89" s="12">
        <v>0</v>
      </c>
      <c r="D89" s="12">
        <v>0</v>
      </c>
      <c r="E89" s="14">
        <v>0</v>
      </c>
      <c r="F89" s="18">
        <v>0</v>
      </c>
      <c r="G89" s="14">
        <v>0</v>
      </c>
      <c r="H89" s="13">
        <v>0</v>
      </c>
    </row>
    <row r="90" spans="1:8" x14ac:dyDescent="0.25">
      <c r="A90" s="21" t="s">
        <v>105</v>
      </c>
      <c r="B90" s="11" t="s">
        <v>126</v>
      </c>
      <c r="C90" s="14">
        <v>0</v>
      </c>
      <c r="D90" s="12">
        <v>0</v>
      </c>
      <c r="E90" s="14">
        <v>0</v>
      </c>
      <c r="F90" s="18">
        <v>0</v>
      </c>
      <c r="G90" s="14">
        <v>0</v>
      </c>
      <c r="H90" s="13">
        <v>0</v>
      </c>
    </row>
    <row r="91" spans="1:8" ht="26.25" x14ac:dyDescent="0.25">
      <c r="A91" s="21" t="s">
        <v>106</v>
      </c>
      <c r="B91" s="4" t="s">
        <v>24</v>
      </c>
      <c r="C91" s="10">
        <f>SUBTOTAL(9,C92:C95)</f>
        <v>158584.63</v>
      </c>
      <c r="D91" s="10">
        <f>SUBTOTAL(9,D92:D95)</f>
        <v>297667.71999999997</v>
      </c>
      <c r="E91" s="10">
        <f>SUBTOTAL(9,E92:E95)</f>
        <v>142380.18</v>
      </c>
      <c r="F91" s="10">
        <f t="shared" ref="F91:H91" si="12">SUBTOTAL(9,F92:F95)</f>
        <v>140505.63999999998</v>
      </c>
      <c r="G91" s="10">
        <f t="shared" si="12"/>
        <v>146960.24999999997</v>
      </c>
      <c r="H91" s="10">
        <f t="shared" si="12"/>
        <v>141346.65000000002</v>
      </c>
    </row>
    <row r="92" spans="1:8" x14ac:dyDescent="0.25">
      <c r="A92" s="21" t="s">
        <v>107</v>
      </c>
      <c r="B92" s="11" t="s">
        <v>14</v>
      </c>
      <c r="C92" s="12">
        <v>146382.54</v>
      </c>
      <c r="D92" s="12">
        <v>139503.59</v>
      </c>
      <c r="E92" s="16">
        <v>132727.95000000001</v>
      </c>
      <c r="F92" s="18">
        <v>122457.26</v>
      </c>
      <c r="G92" s="14">
        <v>131543.04999999999</v>
      </c>
      <c r="H92" s="13">
        <v>127363.41</v>
      </c>
    </row>
    <row r="93" spans="1:8" x14ac:dyDescent="0.25">
      <c r="A93" s="21" t="s">
        <v>108</v>
      </c>
      <c r="B93" s="11" t="s">
        <v>15</v>
      </c>
      <c r="C93" s="12">
        <f>1375.74+10826.35</f>
        <v>12202.09</v>
      </c>
      <c r="D93" s="12">
        <f>1375.74+2551.34</f>
        <v>3927.08</v>
      </c>
      <c r="E93" s="16">
        <v>1501.61</v>
      </c>
      <c r="F93" s="18">
        <f>811.28+1154.77</f>
        <v>1966.05</v>
      </c>
      <c r="G93" s="14">
        <f>652.54+9044.38</f>
        <v>9696.9199999999983</v>
      </c>
      <c r="H93" s="13">
        <f>1494.76+12205.1</f>
        <v>13699.86</v>
      </c>
    </row>
    <row r="94" spans="1:8" x14ac:dyDescent="0.25">
      <c r="A94" s="21" t="s">
        <v>109</v>
      </c>
      <c r="B94" s="11" t="s">
        <v>126</v>
      </c>
      <c r="C94" s="14">
        <v>0</v>
      </c>
      <c r="D94" s="12">
        <v>29512.05</v>
      </c>
      <c r="E94" s="16">
        <v>8150.62</v>
      </c>
      <c r="F94" s="18">
        <v>16082.33</v>
      </c>
      <c r="G94" s="14">
        <v>5067.74</v>
      </c>
      <c r="H94" s="13">
        <v>283.38</v>
      </c>
    </row>
    <row r="95" spans="1:8" x14ac:dyDescent="0.25">
      <c r="A95" s="21" t="s">
        <v>139</v>
      </c>
      <c r="B95" s="11" t="s">
        <v>16</v>
      </c>
      <c r="C95" s="14">
        <v>0</v>
      </c>
      <c r="D95" s="12">
        <v>124725</v>
      </c>
      <c r="E95" s="16">
        <v>0</v>
      </c>
      <c r="F95" s="18">
        <v>0</v>
      </c>
      <c r="G95" s="14">
        <v>652.54</v>
      </c>
      <c r="H95" s="13">
        <v>0</v>
      </c>
    </row>
    <row r="96" spans="1:8" x14ac:dyDescent="0.25">
      <c r="A96" s="21" t="s">
        <v>110</v>
      </c>
      <c r="B96" s="4" t="s">
        <v>25</v>
      </c>
      <c r="C96" s="10">
        <f>SUBTOTAL(9,C97:C99)</f>
        <v>0</v>
      </c>
      <c r="D96" s="10">
        <f>SUBTOTAL(9,D97:D99)</f>
        <v>0</v>
      </c>
      <c r="E96" s="10">
        <f>SUBTOTAL(9,E97:E99)</f>
        <v>267500</v>
      </c>
      <c r="F96" s="10">
        <f t="shared" ref="F96:H96" si="13">SUBTOTAL(9,F97:F99)</f>
        <v>1534586</v>
      </c>
      <c r="G96" s="10">
        <f t="shared" si="13"/>
        <v>5642066.0999999996</v>
      </c>
      <c r="H96" s="10">
        <f t="shared" si="13"/>
        <v>5650549.6900000004</v>
      </c>
    </row>
    <row r="97" spans="1:8" x14ac:dyDescent="0.25">
      <c r="A97" s="21" t="s">
        <v>111</v>
      </c>
      <c r="B97" s="11" t="s">
        <v>14</v>
      </c>
      <c r="C97" s="12">
        <v>0</v>
      </c>
      <c r="D97" s="12">
        <v>0</v>
      </c>
      <c r="E97" s="14">
        <v>0</v>
      </c>
      <c r="F97" s="18">
        <v>0</v>
      </c>
      <c r="G97" s="14">
        <v>0</v>
      </c>
      <c r="H97" s="13">
        <v>6403.24</v>
      </c>
    </row>
    <row r="98" spans="1:8" x14ac:dyDescent="0.25">
      <c r="A98" s="21" t="s">
        <v>112</v>
      </c>
      <c r="B98" s="11" t="s">
        <v>15</v>
      </c>
      <c r="C98" s="12">
        <v>0</v>
      </c>
      <c r="D98" s="12">
        <v>0</v>
      </c>
      <c r="E98" s="14">
        <v>267500</v>
      </c>
      <c r="F98" s="18">
        <v>1534586</v>
      </c>
      <c r="G98" s="14">
        <v>5642066.0999999996</v>
      </c>
      <c r="H98" s="13">
        <f>5644146.45</f>
        <v>5644146.4500000002</v>
      </c>
    </row>
    <row r="99" spans="1:8" x14ac:dyDescent="0.25">
      <c r="A99" s="21" t="s">
        <v>113</v>
      </c>
      <c r="B99" s="11" t="s">
        <v>126</v>
      </c>
      <c r="C99" s="14">
        <v>0</v>
      </c>
      <c r="D99" s="12">
        <v>0</v>
      </c>
      <c r="E99" s="14">
        <v>0</v>
      </c>
      <c r="F99" s="18">
        <v>0</v>
      </c>
      <c r="G99" s="14">
        <v>0</v>
      </c>
      <c r="H99" s="13">
        <v>0</v>
      </c>
    </row>
    <row r="100" spans="1:8" x14ac:dyDescent="0.25">
      <c r="A100" s="21" t="s">
        <v>114</v>
      </c>
      <c r="B100" s="4" t="s">
        <v>26</v>
      </c>
      <c r="C100" s="10">
        <f>SUBTOTAL(9,C101:C106)</f>
        <v>1810869.5999999999</v>
      </c>
      <c r="D100" s="10">
        <f>SUBTOTAL(9,D101:D106)</f>
        <v>1760042.1800000002</v>
      </c>
      <c r="E100" s="10">
        <f>SUBTOTAL(9,E101:E106)</f>
        <v>1465980.02</v>
      </c>
      <c r="F100" s="10">
        <f t="shared" ref="F100:H100" si="14">SUBTOTAL(9,F101:F106)</f>
        <v>1029713.0099999999</v>
      </c>
      <c r="G100" s="10">
        <f t="shared" si="14"/>
        <v>1996071.3</v>
      </c>
      <c r="H100" s="10">
        <f t="shared" si="14"/>
        <v>1450512.0800000003</v>
      </c>
    </row>
    <row r="101" spans="1:8" x14ac:dyDescent="0.25">
      <c r="A101" s="21" t="s">
        <v>115</v>
      </c>
      <c r="B101" s="11" t="s">
        <v>14</v>
      </c>
      <c r="C101" s="12">
        <v>69611.63</v>
      </c>
      <c r="D101" s="12">
        <v>59725.97</v>
      </c>
      <c r="E101" s="14">
        <v>64194.21</v>
      </c>
      <c r="F101" s="18">
        <v>57952.36</v>
      </c>
      <c r="G101" s="14">
        <v>78765.820000000007</v>
      </c>
      <c r="H101" s="13">
        <v>73549.37</v>
      </c>
    </row>
    <row r="102" spans="1:8" x14ac:dyDescent="0.25">
      <c r="A102" s="21" t="s">
        <v>116</v>
      </c>
      <c r="B102" s="11" t="s">
        <v>27</v>
      </c>
      <c r="C102" s="12">
        <v>1675920.33</v>
      </c>
      <c r="D102" s="30">
        <v>1679920.06</v>
      </c>
      <c r="E102" s="14">
        <v>1335682.51</v>
      </c>
      <c r="F102">
        <f>955744.34</f>
        <v>955744.34</v>
      </c>
      <c r="G102" s="14">
        <v>1895222.47</v>
      </c>
      <c r="H102" s="13">
        <v>1350483.5</v>
      </c>
    </row>
    <row r="103" spans="1:8" x14ac:dyDescent="0.25">
      <c r="A103" s="21" t="s">
        <v>117</v>
      </c>
      <c r="B103" s="11" t="s">
        <v>15</v>
      </c>
      <c r="C103" s="12">
        <f>762.15+51981.49</f>
        <v>52743.64</v>
      </c>
      <c r="D103" s="15">
        <f>826.01+2280.5+335.53</f>
        <v>3442.04</v>
      </c>
      <c r="E103" s="13">
        <f>35+51844.29</f>
        <v>51879.29</v>
      </c>
      <c r="F103" s="18">
        <f>162.24+2040.97</f>
        <v>2203.21</v>
      </c>
      <c r="G103" s="13">
        <f>125.68+7994.33+149.9</f>
        <v>8269.91</v>
      </c>
      <c r="H103" s="13">
        <f>381.77+2719.3+174.27</f>
        <v>3275.34</v>
      </c>
    </row>
    <row r="104" spans="1:8" ht="26.25" x14ac:dyDescent="0.25">
      <c r="A104" s="21" t="s">
        <v>118</v>
      </c>
      <c r="B104" s="11" t="s">
        <v>28</v>
      </c>
      <c r="C104" s="12">
        <v>12594</v>
      </c>
      <c r="D104" s="12">
        <v>12594</v>
      </c>
      <c r="E104" s="14">
        <v>12594</v>
      </c>
      <c r="F104" s="18">
        <v>13813.1</v>
      </c>
      <c r="G104" s="14">
        <v>13813.1</v>
      </c>
      <c r="H104" s="13">
        <v>13835.05</v>
      </c>
    </row>
    <row r="105" spans="1:8" x14ac:dyDescent="0.25">
      <c r="A105" s="21" t="s">
        <v>121</v>
      </c>
      <c r="B105" s="11" t="s">
        <v>126</v>
      </c>
      <c r="C105" s="14">
        <v>0</v>
      </c>
      <c r="D105" s="12">
        <v>4360.1099999999997</v>
      </c>
      <c r="E105" s="14">
        <v>1630.01</v>
      </c>
      <c r="F105" s="18">
        <v>0</v>
      </c>
      <c r="G105" s="14">
        <v>0</v>
      </c>
      <c r="H105" s="13">
        <v>9368.82</v>
      </c>
    </row>
    <row r="106" spans="1:8" x14ac:dyDescent="0.25">
      <c r="A106" s="21" t="s">
        <v>140</v>
      </c>
      <c r="B106" s="11" t="s">
        <v>16</v>
      </c>
      <c r="C106" s="14">
        <v>0</v>
      </c>
      <c r="D106" s="12">
        <v>0</v>
      </c>
      <c r="E106" s="14">
        <v>0</v>
      </c>
      <c r="F106" s="18">
        <v>0</v>
      </c>
      <c r="G106" s="14">
        <v>0</v>
      </c>
      <c r="H106" s="13">
        <v>0</v>
      </c>
    </row>
    <row r="107" spans="1:8" x14ac:dyDescent="0.25">
      <c r="A107" s="21" t="s">
        <v>120</v>
      </c>
      <c r="B107" s="4" t="s">
        <v>29</v>
      </c>
      <c r="C107" s="10">
        <f>SUBTOTAL(9,C108:C112)</f>
        <v>4408395.34</v>
      </c>
      <c r="D107" s="10">
        <f>SUBTOTAL(9,D108:D112)</f>
        <v>2547692.65</v>
      </c>
      <c r="E107" s="10">
        <f>SUBTOTAL(9,E108:E112)</f>
        <v>7478566.0999999996</v>
      </c>
      <c r="F107" s="10">
        <f t="shared" ref="F107:H107" si="15">SUBTOTAL(9,F108:F112)</f>
        <v>5916962.1799999997</v>
      </c>
      <c r="G107" s="10">
        <f t="shared" si="15"/>
        <v>5940613.6200000001</v>
      </c>
      <c r="H107" s="10">
        <f t="shared" si="15"/>
        <v>7666390.1799999997</v>
      </c>
    </row>
    <row r="108" spans="1:8" x14ac:dyDescent="0.25">
      <c r="A108" s="21" t="s">
        <v>122</v>
      </c>
      <c r="B108" s="11" t="s">
        <v>14</v>
      </c>
      <c r="C108" s="12">
        <v>202847.26</v>
      </c>
      <c r="D108" s="12">
        <v>95087.95</v>
      </c>
      <c r="E108" s="14">
        <v>94046.95</v>
      </c>
      <c r="F108" s="18">
        <v>109774.19</v>
      </c>
      <c r="G108" s="14">
        <v>113101.13</v>
      </c>
      <c r="H108" s="13">
        <v>106683.72</v>
      </c>
    </row>
    <row r="109" spans="1:8" ht="26.25" x14ac:dyDescent="0.25">
      <c r="A109" s="21" t="s">
        <v>123</v>
      </c>
      <c r="B109" s="11" t="s">
        <v>30</v>
      </c>
      <c r="C109" s="33">
        <v>4096456.94</v>
      </c>
      <c r="D109" s="34">
        <f>456205.45+1931669.04+13818.84+3010.32+5922.36</f>
        <v>2410626.0099999998</v>
      </c>
      <c r="E109" s="35">
        <v>7183267.8899999997</v>
      </c>
      <c r="F109" s="18">
        <f>1216089.68+4331827.88+13818.84+52737.78+148765.88</f>
        <v>5763240.0599999996</v>
      </c>
      <c r="G109" s="14">
        <f>1248883.7+4364871.42+13818.84+89762.15</f>
        <v>5717336.1100000003</v>
      </c>
      <c r="H109" s="13">
        <f>1240321.44+4327661.21+13818.84+1804134.49+143608.06</f>
        <v>7529544.04</v>
      </c>
    </row>
    <row r="110" spans="1:8" x14ac:dyDescent="0.25">
      <c r="A110" s="21" t="s">
        <v>124</v>
      </c>
      <c r="B110" s="11" t="s">
        <v>15</v>
      </c>
      <c r="C110" s="12">
        <f>784.94+108306.2</f>
        <v>109091.14</v>
      </c>
      <c r="D110" s="12">
        <f>10679.04+31299.65</f>
        <v>41978.69</v>
      </c>
      <c r="E110" s="13">
        <f>1645.79+199605.47</f>
        <v>201251.26</v>
      </c>
      <c r="F110" s="18">
        <f>1577.27+42370.66</f>
        <v>43947.93</v>
      </c>
      <c r="G110" s="13">
        <f>53044.73+1331.65</f>
        <v>54376.380000000005</v>
      </c>
      <c r="H110" s="13">
        <f>1213.21+28947.93+1.28</f>
        <v>30162.42</v>
      </c>
    </row>
    <row r="111" spans="1:8" x14ac:dyDescent="0.25">
      <c r="A111" s="21" t="s">
        <v>125</v>
      </c>
      <c r="B111" s="11" t="s">
        <v>126</v>
      </c>
      <c r="C111" s="14">
        <v>0</v>
      </c>
      <c r="D111" s="12">
        <v>0</v>
      </c>
      <c r="E111" s="13">
        <v>0</v>
      </c>
      <c r="F111" s="19">
        <v>0</v>
      </c>
      <c r="G111" s="13">
        <v>55800</v>
      </c>
      <c r="H111" s="13">
        <v>0</v>
      </c>
    </row>
    <row r="112" spans="1:8" x14ac:dyDescent="0.25">
      <c r="A112" s="21" t="s">
        <v>141</v>
      </c>
      <c r="B112" s="11" t="s">
        <v>16</v>
      </c>
      <c r="C112" s="14">
        <v>0</v>
      </c>
      <c r="D112" s="12">
        <v>0</v>
      </c>
      <c r="E112" s="13">
        <v>0</v>
      </c>
      <c r="F112" s="19">
        <v>0</v>
      </c>
      <c r="G112" s="13">
        <v>0</v>
      </c>
      <c r="H112" s="13">
        <v>0</v>
      </c>
    </row>
    <row r="113" spans="1:8" ht="26.25" x14ac:dyDescent="0.25">
      <c r="A113" s="21" t="s">
        <v>142</v>
      </c>
      <c r="B113" s="4" t="s">
        <v>147</v>
      </c>
      <c r="C113" s="29">
        <f>SUM(C114:C117)</f>
        <v>16530</v>
      </c>
      <c r="D113" s="29">
        <f t="shared" ref="D113:H113" si="16">SUM(D114:D117)</f>
        <v>0</v>
      </c>
      <c r="E113" s="29">
        <f t="shared" si="16"/>
        <v>12817.5</v>
      </c>
      <c r="F113" s="29">
        <f t="shared" si="16"/>
        <v>73025.73</v>
      </c>
      <c r="G113" s="29">
        <f t="shared" si="16"/>
        <v>32018.32</v>
      </c>
      <c r="H113" s="29">
        <f t="shared" si="16"/>
        <v>5912.77</v>
      </c>
    </row>
    <row r="114" spans="1:8" x14ac:dyDescent="0.25">
      <c r="A114" s="21" t="s">
        <v>143</v>
      </c>
      <c r="B114" s="11" t="s">
        <v>14</v>
      </c>
      <c r="C114" s="14">
        <v>0</v>
      </c>
      <c r="D114" s="12"/>
      <c r="E114" s="13">
        <v>0</v>
      </c>
      <c r="F114" s="19">
        <v>0</v>
      </c>
      <c r="G114" s="13">
        <v>0</v>
      </c>
      <c r="H114" s="13">
        <f>87.93+5824.84</f>
        <v>5912.77</v>
      </c>
    </row>
    <row r="115" spans="1:8" x14ac:dyDescent="0.25">
      <c r="A115" s="21" t="s">
        <v>144</v>
      </c>
      <c r="B115" s="11" t="s">
        <v>15</v>
      </c>
      <c r="C115" s="14">
        <v>16530</v>
      </c>
      <c r="D115" s="12"/>
      <c r="E115" s="13">
        <v>0</v>
      </c>
      <c r="F115" s="19">
        <f>84.5+72941.23</f>
        <v>73025.73</v>
      </c>
      <c r="G115" s="13">
        <f>27485.12+4533.2</f>
        <v>32018.32</v>
      </c>
      <c r="H115" s="13">
        <v>0</v>
      </c>
    </row>
    <row r="116" spans="1:8" x14ac:dyDescent="0.25">
      <c r="A116" s="21" t="s">
        <v>145</v>
      </c>
      <c r="B116" s="11" t="s">
        <v>16</v>
      </c>
      <c r="C116" s="14">
        <v>0</v>
      </c>
      <c r="D116" s="12"/>
      <c r="E116" s="13">
        <v>12817.5</v>
      </c>
      <c r="F116" s="19">
        <v>0</v>
      </c>
      <c r="G116" s="13">
        <v>0</v>
      </c>
      <c r="H116" s="13">
        <v>0</v>
      </c>
    </row>
    <row r="117" spans="1:8" x14ac:dyDescent="0.25">
      <c r="A117" s="21" t="s">
        <v>146</v>
      </c>
      <c r="B117" s="11" t="s">
        <v>126</v>
      </c>
      <c r="C117" s="14">
        <v>0</v>
      </c>
      <c r="D117" s="12"/>
      <c r="E117" s="13">
        <v>0</v>
      </c>
      <c r="F117" s="19">
        <v>0</v>
      </c>
      <c r="G117" s="13">
        <v>0</v>
      </c>
      <c r="H117" s="13">
        <v>0</v>
      </c>
    </row>
    <row r="118" spans="1:8" x14ac:dyDescent="0.25">
      <c r="A118" s="21" t="s">
        <v>148</v>
      </c>
      <c r="B118" s="4" t="s">
        <v>31</v>
      </c>
      <c r="C118" s="10">
        <f>SUBTOTAL(9,C119:C122)</f>
        <v>1492305.17</v>
      </c>
      <c r="D118" s="10">
        <f>SUBTOTAL(9,D119:D122)</f>
        <v>1334161.83</v>
      </c>
      <c r="E118" s="10">
        <f>SUBTOTAL(9,E119:E122)</f>
        <v>1397411.3699999999</v>
      </c>
      <c r="F118" s="10">
        <f t="shared" ref="F118:H118" si="17">SUBTOTAL(9,F119:F122)</f>
        <v>1410368.12</v>
      </c>
      <c r="G118" s="10">
        <f t="shared" si="17"/>
        <v>2308236.7599999998</v>
      </c>
      <c r="H118" s="10">
        <f t="shared" si="17"/>
        <v>1434025.6000000003</v>
      </c>
    </row>
    <row r="119" spans="1:8" x14ac:dyDescent="0.25">
      <c r="A119" s="21" t="s">
        <v>149</v>
      </c>
      <c r="B119" s="11" t="s">
        <v>14</v>
      </c>
      <c r="C119" s="12">
        <v>1215201.28</v>
      </c>
      <c r="D119" s="12">
        <v>1159813.21</v>
      </c>
      <c r="E119" s="12">
        <f>1179230.58+34278.89</f>
        <v>1213509.47</v>
      </c>
      <c r="F119" s="20">
        <f>1153441.99+39697.56</f>
        <v>1193139.55</v>
      </c>
      <c r="G119" s="12">
        <f>1360887.71+61546.96</f>
        <v>1422434.67</v>
      </c>
      <c r="H119" s="13">
        <f>1181392.84+51946.08</f>
        <v>1233338.9200000002</v>
      </c>
    </row>
    <row r="120" spans="1:8" x14ac:dyDescent="0.25">
      <c r="A120" s="21" t="s">
        <v>150</v>
      </c>
      <c r="B120" s="11" t="s">
        <v>15</v>
      </c>
      <c r="C120" s="12">
        <f>219119.51+6880.58+33128.64+188.4</f>
        <v>259317.12999999998</v>
      </c>
      <c r="D120" s="13">
        <f>166404.06+2144.56</f>
        <v>168548.62</v>
      </c>
      <c r="E120" s="13">
        <f>170749.28+50.17+0.01</f>
        <v>170799.46000000002</v>
      </c>
      <c r="F120" s="19">
        <f>202294.88</f>
        <v>202294.88</v>
      </c>
      <c r="G120" s="13">
        <f>262719.95+9455.83</f>
        <v>272175.78000000003</v>
      </c>
      <c r="H120" s="13">
        <f>180947+6837.7+27.15</f>
        <v>187811.85</v>
      </c>
    </row>
    <row r="121" spans="1:8" x14ac:dyDescent="0.25">
      <c r="A121" s="21" t="s">
        <v>151</v>
      </c>
      <c r="B121" s="11" t="s">
        <v>16</v>
      </c>
      <c r="C121" s="12">
        <v>0</v>
      </c>
      <c r="D121" s="13">
        <v>3050</v>
      </c>
      <c r="E121" s="13">
        <v>1805</v>
      </c>
      <c r="F121" s="19">
        <v>6939</v>
      </c>
      <c r="G121" s="13">
        <v>536976.32999999996</v>
      </c>
      <c r="H121" s="13">
        <v>4086</v>
      </c>
    </row>
    <row r="122" spans="1:8" x14ac:dyDescent="0.25">
      <c r="A122" s="21" t="s">
        <v>152</v>
      </c>
      <c r="B122" s="11" t="s">
        <v>126</v>
      </c>
      <c r="C122" s="14">
        <v>17786.759999999998</v>
      </c>
      <c r="D122" s="13">
        <v>2750</v>
      </c>
      <c r="E122" s="13">
        <v>11297.44</v>
      </c>
      <c r="F122" s="19">
        <v>7994.69</v>
      </c>
      <c r="G122" s="13">
        <v>76649.98</v>
      </c>
      <c r="H122" s="13">
        <f>8719.11+69.72</f>
        <v>8788.83</v>
      </c>
    </row>
  </sheetData>
  <mergeCells count="1">
    <mergeCell ref="A1:H1"/>
  </mergeCells>
  <phoneticPr fontId="4" type="noConversion"/>
  <pageMargins left="0.29166666666666669" right="0.26041666666666669" top="1.5625" bottom="0.58493589743589747" header="0.31496062000000002" footer="0.31496062000000002"/>
  <pageSetup paperSize="9" orientation="landscape" horizontalDpi="0" verticalDpi="0" r:id="rId1"/>
  <headerFooter>
    <oddHeader xml:space="preserve">&amp;C&amp;G&amp;R&amp;10Contrato de Gestão 001/2011 - SEAD / OVG
Execução Orçamentária Mensal
Regime de Apuração 2021
</oddHeader>
    <oddFooter>&amp;C&amp;10&amp;P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Barsanulfo da Silva</dc:creator>
  <cp:lastModifiedBy>Renata Ferreira dos Santos</cp:lastModifiedBy>
  <cp:lastPrinted>2021-10-14T19:26:14Z</cp:lastPrinted>
  <dcterms:created xsi:type="dcterms:W3CDTF">2021-07-12T21:39:46Z</dcterms:created>
  <dcterms:modified xsi:type="dcterms:W3CDTF">2022-02-08T14:48:51Z</dcterms:modified>
</cp:coreProperties>
</file>